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175" yWindow="-375" windowWidth="24075" windowHeight="12555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45621"/>
</workbook>
</file>

<file path=xl/calcChain.xml><?xml version="1.0" encoding="utf-8"?>
<calcChain xmlns="http://schemas.openxmlformats.org/spreadsheetml/2006/main">
  <c r="E348" i="3" l="1"/>
  <c r="E347" i="3"/>
  <c r="E339" i="3"/>
  <c r="E338" i="3"/>
  <c r="C325" i="3"/>
  <c r="C333" i="3" s="1"/>
  <c r="E305" i="3"/>
  <c r="D305" i="3"/>
  <c r="C305" i="3"/>
  <c r="E304" i="3"/>
  <c r="D304" i="3"/>
  <c r="C304" i="3"/>
  <c r="E303" i="3"/>
  <c r="D303" i="3"/>
  <c r="C303" i="3"/>
  <c r="E302" i="3"/>
  <c r="D302" i="3"/>
  <c r="C302" i="3"/>
  <c r="E301" i="3"/>
  <c r="D301" i="3"/>
  <c r="C301" i="3"/>
  <c r="E300" i="3"/>
  <c r="D300" i="3"/>
  <c r="C300" i="3"/>
  <c r="E299" i="3"/>
  <c r="D299" i="3"/>
  <c r="C299" i="3"/>
  <c r="E293" i="3"/>
  <c r="D293" i="3"/>
  <c r="C293" i="3"/>
  <c r="E292" i="3"/>
  <c r="D292" i="3"/>
  <c r="C292" i="3"/>
  <c r="E291" i="3"/>
  <c r="D291" i="3"/>
  <c r="C291" i="3"/>
  <c r="E290" i="3"/>
  <c r="D290" i="3"/>
  <c r="C290" i="3"/>
  <c r="C294" i="3" s="1"/>
  <c r="E289" i="3"/>
  <c r="D289" i="3"/>
  <c r="C289" i="3"/>
  <c r="E283" i="3"/>
  <c r="D283" i="3"/>
  <c r="C283" i="3"/>
  <c r="E282" i="3"/>
  <c r="D282" i="3"/>
  <c r="C282" i="3"/>
  <c r="E281" i="3"/>
  <c r="D281" i="3"/>
  <c r="C281" i="3"/>
  <c r="E280" i="3"/>
  <c r="D280" i="3"/>
  <c r="C280" i="3"/>
  <c r="E279" i="3"/>
  <c r="D279" i="3"/>
  <c r="C279" i="3"/>
  <c r="E278" i="3"/>
  <c r="D278" i="3"/>
  <c r="C278" i="3"/>
  <c r="E276" i="3"/>
  <c r="D276" i="3"/>
  <c r="C276" i="3"/>
  <c r="E275" i="3"/>
  <c r="D275" i="3"/>
  <c r="C275" i="3"/>
  <c r="E274" i="3"/>
  <c r="D274" i="3"/>
  <c r="C274" i="3"/>
  <c r="E273" i="3"/>
  <c r="D273" i="3"/>
  <c r="C273" i="3"/>
  <c r="E272" i="3"/>
  <c r="D272" i="3"/>
  <c r="C272" i="3"/>
  <c r="E271" i="3"/>
  <c r="D271" i="3"/>
  <c r="C271" i="3"/>
  <c r="E270" i="3"/>
  <c r="D270" i="3"/>
  <c r="C270" i="3"/>
  <c r="E269" i="3"/>
  <c r="D269" i="3"/>
  <c r="C269" i="3"/>
  <c r="E268" i="3"/>
  <c r="D268" i="3"/>
  <c r="C268" i="3"/>
  <c r="E267" i="3"/>
  <c r="D267" i="3"/>
  <c r="C267" i="3"/>
  <c r="E266" i="3"/>
  <c r="D266" i="3"/>
  <c r="C266" i="3"/>
  <c r="E265" i="3"/>
  <c r="D265" i="3"/>
  <c r="C265" i="3"/>
  <c r="E264" i="3"/>
  <c r="D264" i="3"/>
  <c r="C264" i="3"/>
  <c r="E263" i="3"/>
  <c r="D263" i="3"/>
  <c r="C263" i="3"/>
  <c r="E262" i="3"/>
  <c r="D262" i="3"/>
  <c r="C262" i="3"/>
  <c r="E261" i="3"/>
  <c r="D261" i="3"/>
  <c r="C261" i="3"/>
  <c r="E260" i="3"/>
  <c r="D260" i="3"/>
  <c r="C260" i="3"/>
  <c r="E259" i="3"/>
  <c r="D259" i="3"/>
  <c r="C259" i="3"/>
  <c r="E257" i="3"/>
  <c r="D257" i="3"/>
  <c r="C257" i="3"/>
  <c r="E256" i="3"/>
  <c r="D256" i="3"/>
  <c r="C256" i="3"/>
  <c r="E255" i="3"/>
  <c r="D255" i="3"/>
  <c r="C255" i="3"/>
  <c r="E254" i="3"/>
  <c r="D254" i="3"/>
  <c r="C254" i="3"/>
  <c r="E253" i="3"/>
  <c r="D253" i="3"/>
  <c r="C253" i="3"/>
  <c r="E252" i="3"/>
  <c r="D252" i="3"/>
  <c r="C252" i="3"/>
  <c r="E251" i="3"/>
  <c r="D251" i="3"/>
  <c r="C251" i="3"/>
  <c r="E250" i="3"/>
  <c r="D250" i="3"/>
  <c r="C250" i="3"/>
  <c r="E249" i="3"/>
  <c r="D249" i="3"/>
  <c r="C249" i="3"/>
  <c r="E248" i="3"/>
  <c r="D248" i="3"/>
  <c r="C248" i="3"/>
  <c r="E247" i="3"/>
  <c r="D247" i="3"/>
  <c r="C247" i="3"/>
  <c r="E246" i="3"/>
  <c r="D246" i="3"/>
  <c r="C246" i="3"/>
  <c r="E245" i="3"/>
  <c r="E284" i="3" s="1"/>
  <c r="D245" i="3"/>
  <c r="C245" i="3"/>
  <c r="E244" i="3"/>
  <c r="D244" i="3"/>
  <c r="C244" i="3"/>
  <c r="E240" i="3"/>
  <c r="C240" i="3"/>
  <c r="E234" i="3"/>
  <c r="E235" i="3" s="1"/>
  <c r="D234" i="3"/>
  <c r="C234" i="3"/>
  <c r="E233" i="3"/>
  <c r="D233" i="3"/>
  <c r="C233" i="3"/>
  <c r="C228" i="3"/>
  <c r="E220" i="3"/>
  <c r="D220" i="3"/>
  <c r="C220" i="3"/>
  <c r="E219" i="3"/>
  <c r="C219" i="3"/>
  <c r="E218" i="3"/>
  <c r="D218" i="3"/>
  <c r="C218" i="3"/>
  <c r="E217" i="3"/>
  <c r="D217" i="3"/>
  <c r="C217" i="3"/>
  <c r="E216" i="3"/>
  <c r="D216" i="3"/>
  <c r="C216" i="3"/>
  <c r="E215" i="3"/>
  <c r="D215" i="3"/>
  <c r="C215" i="3"/>
  <c r="E214" i="3"/>
  <c r="D214" i="3"/>
  <c r="C214" i="3"/>
  <c r="E213" i="3"/>
  <c r="D213" i="3"/>
  <c r="C213" i="3"/>
  <c r="E212" i="3"/>
  <c r="D212" i="3"/>
  <c r="C212" i="3"/>
  <c r="C221" i="3" s="1"/>
  <c r="E206" i="3"/>
  <c r="D206" i="3"/>
  <c r="C206" i="3"/>
  <c r="E205" i="3"/>
  <c r="D205" i="3"/>
  <c r="C205" i="3"/>
  <c r="E204" i="3"/>
  <c r="D204" i="3"/>
  <c r="C204" i="3"/>
  <c r="E203" i="3"/>
  <c r="D203" i="3"/>
  <c r="C203" i="3"/>
  <c r="E202" i="3"/>
  <c r="D202" i="3"/>
  <c r="C202" i="3"/>
  <c r="E201" i="3"/>
  <c r="D201" i="3"/>
  <c r="C201" i="3"/>
  <c r="E200" i="3"/>
  <c r="D200" i="3"/>
  <c r="C200" i="3"/>
  <c r="E199" i="3"/>
  <c r="D199" i="3"/>
  <c r="C199" i="3"/>
  <c r="E198" i="3"/>
  <c r="D198" i="3"/>
  <c r="C198" i="3"/>
  <c r="E197" i="3"/>
  <c r="D197" i="3"/>
  <c r="C197" i="3"/>
  <c r="E196" i="3"/>
  <c r="D196" i="3"/>
  <c r="C196" i="3"/>
  <c r="E195" i="3"/>
  <c r="D195" i="3"/>
  <c r="C195" i="3"/>
  <c r="E194" i="3"/>
  <c r="D194" i="3"/>
  <c r="C194" i="3"/>
  <c r="E193" i="3"/>
  <c r="D193" i="3"/>
  <c r="C193" i="3"/>
  <c r="E192" i="3"/>
  <c r="D192" i="3"/>
  <c r="C192" i="3"/>
  <c r="E191" i="3"/>
  <c r="D191" i="3"/>
  <c r="C191" i="3"/>
  <c r="E190" i="3"/>
  <c r="D190" i="3"/>
  <c r="C190" i="3"/>
  <c r="E189" i="3"/>
  <c r="D189" i="3"/>
  <c r="C189" i="3"/>
  <c r="E188" i="3"/>
  <c r="D188" i="3"/>
  <c r="C188" i="3"/>
  <c r="E187" i="3"/>
  <c r="D187" i="3"/>
  <c r="C187" i="3"/>
  <c r="E186" i="3"/>
  <c r="D186" i="3"/>
  <c r="C186" i="3"/>
  <c r="E185" i="3"/>
  <c r="D185" i="3"/>
  <c r="C185" i="3"/>
  <c r="E184" i="3"/>
  <c r="D184" i="3"/>
  <c r="C184" i="3"/>
  <c r="E183" i="3"/>
  <c r="D183" i="3"/>
  <c r="C183" i="3"/>
  <c r="E182" i="3"/>
  <c r="D182" i="3"/>
  <c r="C182" i="3"/>
  <c r="E181" i="3"/>
  <c r="D181" i="3"/>
  <c r="C181" i="3"/>
  <c r="E180" i="3"/>
  <c r="D180" i="3"/>
  <c r="C180" i="3"/>
  <c r="E179" i="3"/>
  <c r="D179" i="3"/>
  <c r="C179" i="3"/>
  <c r="E178" i="3"/>
  <c r="D178" i="3"/>
  <c r="C178" i="3"/>
  <c r="E177" i="3"/>
  <c r="D177" i="3"/>
  <c r="C177" i="3"/>
  <c r="E176" i="3"/>
  <c r="D176" i="3"/>
  <c r="C176" i="3"/>
  <c r="E175" i="3"/>
  <c r="D175" i="3"/>
  <c r="C175" i="3"/>
  <c r="E174" i="3"/>
  <c r="D174" i="3"/>
  <c r="C174" i="3"/>
  <c r="E173" i="3"/>
  <c r="E207" i="3" s="1"/>
  <c r="D173" i="3"/>
  <c r="C173" i="3"/>
  <c r="E167" i="3"/>
  <c r="D167" i="3"/>
  <c r="C167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E168" i="3" s="1"/>
  <c r="D160" i="3"/>
  <c r="C160" i="3"/>
  <c r="E154" i="3"/>
  <c r="D154" i="3"/>
  <c r="C154" i="3"/>
  <c r="E153" i="3"/>
  <c r="E155" i="3" s="1"/>
  <c r="D153" i="3"/>
  <c r="C153" i="3"/>
  <c r="C155" i="3" s="1"/>
  <c r="E146" i="3"/>
  <c r="D146" i="3"/>
  <c r="C146" i="3"/>
  <c r="E145" i="3"/>
  <c r="D145" i="3"/>
  <c r="C145" i="3"/>
  <c r="E144" i="3"/>
  <c r="D144" i="3"/>
  <c r="C144" i="3"/>
  <c r="E143" i="3"/>
  <c r="D143" i="3"/>
  <c r="C143" i="3"/>
  <c r="C147" i="3" s="1"/>
  <c r="E142" i="3"/>
  <c r="D142" i="3"/>
  <c r="C142" i="3"/>
  <c r="E141" i="3"/>
  <c r="E147" i="3" s="1"/>
  <c r="D141" i="3"/>
  <c r="C141" i="3"/>
  <c r="E138" i="3"/>
  <c r="D138" i="3"/>
  <c r="C138" i="3"/>
  <c r="E137" i="3"/>
  <c r="D137" i="3"/>
  <c r="C137" i="3"/>
  <c r="E136" i="3"/>
  <c r="D136" i="3"/>
  <c r="C136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D128" i="3"/>
  <c r="C128" i="3"/>
  <c r="E127" i="3"/>
  <c r="D127" i="3"/>
  <c r="C127" i="3"/>
  <c r="E126" i="3"/>
  <c r="D126" i="3"/>
  <c r="C126" i="3"/>
  <c r="C121" i="3"/>
  <c r="E115" i="3"/>
  <c r="D115" i="3"/>
  <c r="C115" i="3"/>
  <c r="E114" i="3"/>
  <c r="E116" i="3" s="1"/>
  <c r="D114" i="3"/>
  <c r="C114" i="3"/>
  <c r="C116" i="3" s="1"/>
  <c r="F108" i="3"/>
  <c r="E108" i="3"/>
  <c r="D108" i="3"/>
  <c r="C108" i="3"/>
  <c r="F107" i="3"/>
  <c r="E107" i="3"/>
  <c r="D107" i="3"/>
  <c r="C107" i="3"/>
  <c r="F106" i="3"/>
  <c r="E106" i="3"/>
  <c r="D106" i="3"/>
  <c r="C106" i="3"/>
  <c r="F105" i="3"/>
  <c r="E105" i="3"/>
  <c r="D105" i="3"/>
  <c r="C105" i="3"/>
  <c r="F104" i="3"/>
  <c r="E104" i="3"/>
  <c r="D104" i="3"/>
  <c r="C104" i="3"/>
  <c r="F103" i="3"/>
  <c r="E103" i="3"/>
  <c r="D103" i="3"/>
  <c r="C103" i="3"/>
  <c r="F102" i="3"/>
  <c r="E102" i="3"/>
  <c r="D102" i="3"/>
  <c r="C102" i="3"/>
  <c r="F101" i="3"/>
  <c r="E101" i="3"/>
  <c r="D101" i="3"/>
  <c r="C101" i="3"/>
  <c r="F100" i="3"/>
  <c r="E100" i="3"/>
  <c r="D100" i="3"/>
  <c r="C100" i="3"/>
  <c r="F99" i="3"/>
  <c r="E99" i="3"/>
  <c r="D99" i="3"/>
  <c r="C99" i="3"/>
  <c r="F98" i="3"/>
  <c r="E98" i="3"/>
  <c r="D98" i="3"/>
  <c r="C98" i="3"/>
  <c r="F97" i="3"/>
  <c r="E97" i="3"/>
  <c r="D97" i="3"/>
  <c r="C97" i="3"/>
  <c r="F96" i="3"/>
  <c r="E96" i="3"/>
  <c r="D96" i="3"/>
  <c r="C96" i="3"/>
  <c r="F95" i="3"/>
  <c r="E95" i="3"/>
  <c r="D95" i="3"/>
  <c r="C95" i="3"/>
  <c r="F94" i="3"/>
  <c r="E94" i="3"/>
  <c r="D94" i="3"/>
  <c r="C94" i="3"/>
  <c r="F93" i="3"/>
  <c r="E93" i="3"/>
  <c r="D93" i="3"/>
  <c r="C93" i="3"/>
  <c r="F92" i="3"/>
  <c r="E92" i="3"/>
  <c r="D92" i="3"/>
  <c r="C92" i="3"/>
  <c r="F91" i="3"/>
  <c r="E91" i="3"/>
  <c r="D91" i="3"/>
  <c r="C91" i="3"/>
  <c r="F90" i="3"/>
  <c r="E90" i="3"/>
  <c r="D90" i="3"/>
  <c r="C90" i="3"/>
  <c r="E83" i="3"/>
  <c r="C83" i="3"/>
  <c r="E82" i="3"/>
  <c r="E84" i="3" s="1"/>
  <c r="C82" i="3"/>
  <c r="E81" i="3"/>
  <c r="C81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E68" i="3" s="1"/>
  <c r="C69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C61" i="3"/>
  <c r="E60" i="3"/>
  <c r="C60" i="3"/>
  <c r="E59" i="3"/>
  <c r="C59" i="3"/>
  <c r="E58" i="3"/>
  <c r="C58" i="3"/>
  <c r="E57" i="3"/>
  <c r="C57" i="3"/>
  <c r="E56" i="3"/>
  <c r="C56" i="3"/>
  <c r="C55" i="3"/>
  <c r="E49" i="3"/>
  <c r="D49" i="3"/>
  <c r="C49" i="3"/>
  <c r="E48" i="3"/>
  <c r="D48" i="3"/>
  <c r="C48" i="3"/>
  <c r="E47" i="3"/>
  <c r="D47" i="3"/>
  <c r="C47" i="3"/>
  <c r="E45" i="3"/>
  <c r="D45" i="3"/>
  <c r="C45" i="3"/>
  <c r="E44" i="3"/>
  <c r="D44" i="3"/>
  <c r="C44" i="3"/>
  <c r="E43" i="3"/>
  <c r="D43" i="3"/>
  <c r="C43" i="3"/>
  <c r="E42" i="3"/>
  <c r="D42" i="3"/>
  <c r="C42" i="3"/>
  <c r="E40" i="3"/>
  <c r="D40" i="3"/>
  <c r="C40" i="3"/>
  <c r="E39" i="3"/>
  <c r="D39" i="3"/>
  <c r="C39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E50" i="3" s="1"/>
  <c r="D14" i="3"/>
  <c r="C14" i="3"/>
  <c r="C8" i="3"/>
  <c r="C6" i="3"/>
  <c r="A5" i="3"/>
  <c r="C4" i="3"/>
  <c r="A4" i="3"/>
  <c r="A3" i="3"/>
  <c r="A2" i="3"/>
  <c r="C50" i="3" l="1"/>
  <c r="C76" i="3"/>
  <c r="C84" i="3"/>
  <c r="E109" i="3"/>
  <c r="C139" i="3"/>
  <c r="C148" i="3" s="1"/>
  <c r="C168" i="3"/>
  <c r="C207" i="3"/>
  <c r="E221" i="3"/>
  <c r="E306" i="3"/>
  <c r="E61" i="3"/>
  <c r="E55" i="3" s="1"/>
  <c r="E76" i="3" s="1"/>
  <c r="F109" i="3"/>
  <c r="C235" i="3"/>
  <c r="C284" i="3"/>
  <c r="E294" i="3"/>
  <c r="E310" i="3" s="1"/>
  <c r="C109" i="3"/>
  <c r="D109" i="3"/>
  <c r="E139" i="3"/>
  <c r="E148" i="3"/>
  <c r="E348" i="11"/>
  <c r="E347" i="11"/>
  <c r="E339" i="11"/>
  <c r="E338" i="11"/>
  <c r="C333" i="11"/>
  <c r="C325" i="11"/>
  <c r="E305" i="11"/>
  <c r="D305" i="11"/>
  <c r="C305" i="11"/>
  <c r="E304" i="11"/>
  <c r="D304" i="11"/>
  <c r="C304" i="11"/>
  <c r="E303" i="11"/>
  <c r="D303" i="11"/>
  <c r="C303" i="11"/>
  <c r="E302" i="11"/>
  <c r="D302" i="11"/>
  <c r="C302" i="11"/>
  <c r="E301" i="11"/>
  <c r="D301" i="11"/>
  <c r="C301" i="11"/>
  <c r="E300" i="11"/>
  <c r="D300" i="11"/>
  <c r="C300" i="11"/>
  <c r="E299" i="11"/>
  <c r="D299" i="11"/>
  <c r="C299" i="11"/>
  <c r="E293" i="11"/>
  <c r="D293" i="11"/>
  <c r="C293" i="11"/>
  <c r="E292" i="11"/>
  <c r="D292" i="11"/>
  <c r="C292" i="11"/>
  <c r="E291" i="11"/>
  <c r="D291" i="11"/>
  <c r="C291" i="11"/>
  <c r="E290" i="11"/>
  <c r="D290" i="11"/>
  <c r="C290" i="11"/>
  <c r="E289" i="11"/>
  <c r="D289" i="11"/>
  <c r="C289" i="11"/>
  <c r="E283" i="11"/>
  <c r="D283" i="11"/>
  <c r="C283" i="11"/>
  <c r="E282" i="11"/>
  <c r="D282" i="11"/>
  <c r="C282" i="11"/>
  <c r="E281" i="11"/>
  <c r="D281" i="11"/>
  <c r="C281" i="11"/>
  <c r="E280" i="11"/>
  <c r="D280" i="11"/>
  <c r="C280" i="11"/>
  <c r="E279" i="11"/>
  <c r="D279" i="11"/>
  <c r="C279" i="11"/>
  <c r="E278" i="11"/>
  <c r="D278" i="11"/>
  <c r="C278" i="11"/>
  <c r="E276" i="11"/>
  <c r="D276" i="11"/>
  <c r="C276" i="11"/>
  <c r="E275" i="11"/>
  <c r="D275" i="11"/>
  <c r="C275" i="11"/>
  <c r="E274" i="11"/>
  <c r="D274" i="11"/>
  <c r="C274" i="11"/>
  <c r="E273" i="11"/>
  <c r="D273" i="11"/>
  <c r="C273" i="11"/>
  <c r="E272" i="11"/>
  <c r="D272" i="11"/>
  <c r="C272" i="11"/>
  <c r="E271" i="11"/>
  <c r="D271" i="11"/>
  <c r="C271" i="11"/>
  <c r="E270" i="11"/>
  <c r="D270" i="11"/>
  <c r="C270" i="11"/>
  <c r="E269" i="11"/>
  <c r="D269" i="11"/>
  <c r="C269" i="11"/>
  <c r="E268" i="11"/>
  <c r="D268" i="11"/>
  <c r="C268" i="11"/>
  <c r="E267" i="11"/>
  <c r="D267" i="11"/>
  <c r="C267" i="11"/>
  <c r="E266" i="11"/>
  <c r="D266" i="11"/>
  <c r="C266" i="11"/>
  <c r="E265" i="11"/>
  <c r="D265" i="11"/>
  <c r="C265" i="11"/>
  <c r="E264" i="11"/>
  <c r="D264" i="11"/>
  <c r="C264" i="11"/>
  <c r="E263" i="11"/>
  <c r="D263" i="11"/>
  <c r="C263" i="11"/>
  <c r="E262" i="11"/>
  <c r="D262" i="11"/>
  <c r="C262" i="11"/>
  <c r="E261" i="11"/>
  <c r="D261" i="11"/>
  <c r="C261" i="11"/>
  <c r="E260" i="11"/>
  <c r="D260" i="11"/>
  <c r="C260" i="11"/>
  <c r="E259" i="11"/>
  <c r="D259" i="11"/>
  <c r="C259" i="11"/>
  <c r="E257" i="11"/>
  <c r="D257" i="11"/>
  <c r="C257" i="11"/>
  <c r="E256" i="11"/>
  <c r="D256" i="11"/>
  <c r="C256" i="11"/>
  <c r="E255" i="11"/>
  <c r="D255" i="11"/>
  <c r="C255" i="11"/>
  <c r="E254" i="11"/>
  <c r="D254" i="11"/>
  <c r="C254" i="11"/>
  <c r="E253" i="11"/>
  <c r="D253" i="11"/>
  <c r="C253" i="11"/>
  <c r="E252" i="11"/>
  <c r="D252" i="11"/>
  <c r="C252" i="11"/>
  <c r="E251" i="11"/>
  <c r="D251" i="11"/>
  <c r="C251" i="11"/>
  <c r="E250" i="11"/>
  <c r="D250" i="11"/>
  <c r="C250" i="11"/>
  <c r="E249" i="11"/>
  <c r="D249" i="11"/>
  <c r="C249" i="11"/>
  <c r="E248" i="11"/>
  <c r="D248" i="11"/>
  <c r="C248" i="11"/>
  <c r="E247" i="11"/>
  <c r="D247" i="11"/>
  <c r="C247" i="11"/>
  <c r="E246" i="11"/>
  <c r="D246" i="11"/>
  <c r="C246" i="11"/>
  <c r="E245" i="11"/>
  <c r="D245" i="11"/>
  <c r="C245" i="11"/>
  <c r="E244" i="11"/>
  <c r="D244" i="11"/>
  <c r="C244" i="11"/>
  <c r="C284" i="11" s="1"/>
  <c r="E240" i="11"/>
  <c r="C240" i="11"/>
  <c r="E234" i="11"/>
  <c r="D234" i="11"/>
  <c r="C234" i="11"/>
  <c r="E233" i="11"/>
  <c r="D233" i="11"/>
  <c r="C233" i="11"/>
  <c r="C235" i="11" s="1"/>
  <c r="C228" i="11"/>
  <c r="E220" i="11"/>
  <c r="D220" i="11"/>
  <c r="C220" i="11"/>
  <c r="E219" i="11"/>
  <c r="C219" i="11"/>
  <c r="E218" i="11"/>
  <c r="D218" i="11"/>
  <c r="C218" i="11"/>
  <c r="E217" i="11"/>
  <c r="D217" i="11"/>
  <c r="C217" i="11"/>
  <c r="E216" i="11"/>
  <c r="D216" i="11"/>
  <c r="C216" i="11"/>
  <c r="E215" i="11"/>
  <c r="D215" i="11"/>
  <c r="C215" i="11"/>
  <c r="E214" i="11"/>
  <c r="D214" i="11"/>
  <c r="C214" i="11"/>
  <c r="E213" i="11"/>
  <c r="D213" i="11"/>
  <c r="C213" i="11"/>
  <c r="E212" i="11"/>
  <c r="D212" i="11"/>
  <c r="C212" i="11"/>
  <c r="C221" i="11" s="1"/>
  <c r="E206" i="11"/>
  <c r="D206" i="11"/>
  <c r="C206" i="11"/>
  <c r="E205" i="11"/>
  <c r="D205" i="11"/>
  <c r="C205" i="11"/>
  <c r="E204" i="11"/>
  <c r="D204" i="11"/>
  <c r="C204" i="11"/>
  <c r="E203" i="11"/>
  <c r="D203" i="11"/>
  <c r="C203" i="11"/>
  <c r="E202" i="11"/>
  <c r="D202" i="11"/>
  <c r="C202" i="11"/>
  <c r="E201" i="11"/>
  <c r="D201" i="11"/>
  <c r="C201" i="11"/>
  <c r="E200" i="11"/>
  <c r="D200" i="11"/>
  <c r="C200" i="11"/>
  <c r="E199" i="11"/>
  <c r="D199" i="11"/>
  <c r="C199" i="11"/>
  <c r="E198" i="11"/>
  <c r="D198" i="11"/>
  <c r="C198" i="11"/>
  <c r="E197" i="11"/>
  <c r="D197" i="11"/>
  <c r="C197" i="11"/>
  <c r="E196" i="11"/>
  <c r="D196" i="11"/>
  <c r="C196" i="11"/>
  <c r="E195" i="11"/>
  <c r="D195" i="11"/>
  <c r="C195" i="11"/>
  <c r="E194" i="11"/>
  <c r="D194" i="11"/>
  <c r="C194" i="11"/>
  <c r="E193" i="11"/>
  <c r="D193" i="11"/>
  <c r="C193" i="11"/>
  <c r="E192" i="11"/>
  <c r="D192" i="11"/>
  <c r="C192" i="11"/>
  <c r="E191" i="11"/>
  <c r="D191" i="11"/>
  <c r="C191" i="11"/>
  <c r="E190" i="11"/>
  <c r="D190" i="11"/>
  <c r="C190" i="11"/>
  <c r="E189" i="11"/>
  <c r="D189" i="11"/>
  <c r="C189" i="11"/>
  <c r="E188" i="11"/>
  <c r="D188" i="11"/>
  <c r="C188" i="11"/>
  <c r="E187" i="11"/>
  <c r="D187" i="11"/>
  <c r="C187" i="11"/>
  <c r="E186" i="11"/>
  <c r="D186" i="11"/>
  <c r="C186" i="11"/>
  <c r="E185" i="11"/>
  <c r="D185" i="11"/>
  <c r="C185" i="11"/>
  <c r="E184" i="11"/>
  <c r="D184" i="11"/>
  <c r="C184" i="11"/>
  <c r="E183" i="11"/>
  <c r="D183" i="11"/>
  <c r="C183" i="11"/>
  <c r="E182" i="11"/>
  <c r="D182" i="11"/>
  <c r="C182" i="11"/>
  <c r="E181" i="11"/>
  <c r="D181" i="11"/>
  <c r="C181" i="11"/>
  <c r="E180" i="11"/>
  <c r="D180" i="11"/>
  <c r="C180" i="11"/>
  <c r="E179" i="11"/>
  <c r="D179" i="11"/>
  <c r="C179" i="11"/>
  <c r="E178" i="11"/>
  <c r="D178" i="11"/>
  <c r="C178" i="11"/>
  <c r="E177" i="11"/>
  <c r="D177" i="11"/>
  <c r="C177" i="11"/>
  <c r="E176" i="11"/>
  <c r="D176" i="11"/>
  <c r="C176" i="11"/>
  <c r="E175" i="11"/>
  <c r="D175" i="11"/>
  <c r="C175" i="11"/>
  <c r="E174" i="11"/>
  <c r="D174" i="11"/>
  <c r="C174" i="11"/>
  <c r="E173" i="11"/>
  <c r="D173" i="11"/>
  <c r="C173" i="11"/>
  <c r="E167" i="11"/>
  <c r="D167" i="11"/>
  <c r="C167" i="11"/>
  <c r="E166" i="11"/>
  <c r="D166" i="11"/>
  <c r="C166" i="11"/>
  <c r="E165" i="11"/>
  <c r="D165" i="11"/>
  <c r="C165" i="11"/>
  <c r="E164" i="11"/>
  <c r="D164" i="11"/>
  <c r="C164" i="11"/>
  <c r="E163" i="11"/>
  <c r="D163" i="11"/>
  <c r="C163" i="11"/>
  <c r="E162" i="11"/>
  <c r="D162" i="11"/>
  <c r="C162" i="11"/>
  <c r="E161" i="11"/>
  <c r="D161" i="11"/>
  <c r="C161" i="11"/>
  <c r="E160" i="11"/>
  <c r="D160" i="11"/>
  <c r="C160" i="11"/>
  <c r="E154" i="11"/>
  <c r="D154" i="11"/>
  <c r="C154" i="11"/>
  <c r="E153" i="11"/>
  <c r="D153" i="11"/>
  <c r="C153" i="11"/>
  <c r="E146" i="11"/>
  <c r="D146" i="11"/>
  <c r="C146" i="11"/>
  <c r="E145" i="11"/>
  <c r="D145" i="11"/>
  <c r="C145" i="11"/>
  <c r="E144" i="11"/>
  <c r="D144" i="11"/>
  <c r="C144" i="11"/>
  <c r="E143" i="11"/>
  <c r="D143" i="11"/>
  <c r="C143" i="11"/>
  <c r="C147" i="11" s="1"/>
  <c r="E142" i="11"/>
  <c r="D142" i="11"/>
  <c r="C142" i="11"/>
  <c r="E141" i="11"/>
  <c r="E147" i="11" s="1"/>
  <c r="D141" i="11"/>
  <c r="C141" i="11"/>
  <c r="E138" i="11"/>
  <c r="D138" i="11"/>
  <c r="C138" i="11"/>
  <c r="E137" i="11"/>
  <c r="D137" i="11"/>
  <c r="C137" i="11"/>
  <c r="E136" i="11"/>
  <c r="D136" i="11"/>
  <c r="C136" i="11"/>
  <c r="E135" i="11"/>
  <c r="D135" i="11"/>
  <c r="C135" i="11"/>
  <c r="E134" i="11"/>
  <c r="D134" i="11"/>
  <c r="C134" i="11"/>
  <c r="E133" i="11"/>
  <c r="D133" i="11"/>
  <c r="C133" i="11"/>
  <c r="E132" i="11"/>
  <c r="D132" i="11"/>
  <c r="C132" i="11"/>
  <c r="E131" i="11"/>
  <c r="D131" i="11"/>
  <c r="C131" i="11"/>
  <c r="E130" i="11"/>
  <c r="D130" i="11"/>
  <c r="C130" i="11"/>
  <c r="E129" i="11"/>
  <c r="D129" i="11"/>
  <c r="C129" i="11"/>
  <c r="E128" i="11"/>
  <c r="D128" i="11"/>
  <c r="C128" i="11"/>
  <c r="E127" i="11"/>
  <c r="E139" i="11" s="1"/>
  <c r="E148" i="11" s="1"/>
  <c r="D127" i="11"/>
  <c r="C127" i="11"/>
  <c r="E126" i="11"/>
  <c r="D126" i="11"/>
  <c r="C126" i="11"/>
  <c r="C121" i="11"/>
  <c r="E115" i="11"/>
  <c r="D115" i="11"/>
  <c r="C115" i="11"/>
  <c r="E114" i="11"/>
  <c r="E116" i="11" s="1"/>
  <c r="D114" i="11"/>
  <c r="C114" i="11"/>
  <c r="C116" i="11" s="1"/>
  <c r="F108" i="11"/>
  <c r="E108" i="11"/>
  <c r="D108" i="11"/>
  <c r="C108" i="11"/>
  <c r="F107" i="11"/>
  <c r="E107" i="11"/>
  <c r="D107" i="11"/>
  <c r="C107" i="11"/>
  <c r="F106" i="11"/>
  <c r="E106" i="11"/>
  <c r="D106" i="11"/>
  <c r="C106" i="11"/>
  <c r="F105" i="11"/>
  <c r="E105" i="11"/>
  <c r="D105" i="11"/>
  <c r="C105" i="11"/>
  <c r="F104" i="11"/>
  <c r="E104" i="11"/>
  <c r="D104" i="11"/>
  <c r="C104" i="11"/>
  <c r="F103" i="11"/>
  <c r="E103" i="11"/>
  <c r="D103" i="11"/>
  <c r="C103" i="11"/>
  <c r="F102" i="11"/>
  <c r="E102" i="11"/>
  <c r="D102" i="11"/>
  <c r="C102" i="11"/>
  <c r="F101" i="11"/>
  <c r="E101" i="11"/>
  <c r="D101" i="11"/>
  <c r="C101" i="11"/>
  <c r="F100" i="11"/>
  <c r="E100" i="11"/>
  <c r="D100" i="11"/>
  <c r="C100" i="11"/>
  <c r="F99" i="11"/>
  <c r="E99" i="11"/>
  <c r="D99" i="11"/>
  <c r="C99" i="11"/>
  <c r="F98" i="11"/>
  <c r="E98" i="11"/>
  <c r="D98" i="11"/>
  <c r="C98" i="11"/>
  <c r="F97" i="11"/>
  <c r="E97" i="11"/>
  <c r="D97" i="11"/>
  <c r="C97" i="11"/>
  <c r="F96" i="11"/>
  <c r="E96" i="11"/>
  <c r="D96" i="11"/>
  <c r="C96" i="11"/>
  <c r="F95" i="11"/>
  <c r="E95" i="11"/>
  <c r="D95" i="11"/>
  <c r="C95" i="11"/>
  <c r="F94" i="11"/>
  <c r="E94" i="11"/>
  <c r="D94" i="11"/>
  <c r="C94" i="11"/>
  <c r="F93" i="11"/>
  <c r="E93" i="11"/>
  <c r="D93" i="11"/>
  <c r="C93" i="11"/>
  <c r="F92" i="11"/>
  <c r="E92" i="11"/>
  <c r="D92" i="11"/>
  <c r="C92" i="11"/>
  <c r="F91" i="11"/>
  <c r="E91" i="11"/>
  <c r="D91" i="11"/>
  <c r="C91" i="11"/>
  <c r="F90" i="11"/>
  <c r="E90" i="11"/>
  <c r="D90" i="11"/>
  <c r="C90" i="11"/>
  <c r="E83" i="11"/>
  <c r="C83" i="11"/>
  <c r="E82" i="11"/>
  <c r="C82" i="11"/>
  <c r="E81" i="11"/>
  <c r="E84" i="11" s="1"/>
  <c r="C81" i="11"/>
  <c r="E75" i="11"/>
  <c r="C75" i="11"/>
  <c r="E74" i="11"/>
  <c r="C74" i="11"/>
  <c r="E73" i="11"/>
  <c r="C73" i="11"/>
  <c r="E72" i="11"/>
  <c r="C72" i="11"/>
  <c r="E71" i="11"/>
  <c r="C71" i="11"/>
  <c r="E70" i="11"/>
  <c r="C70" i="11"/>
  <c r="E69" i="11"/>
  <c r="C69" i="11"/>
  <c r="E68" i="11"/>
  <c r="C68" i="11"/>
  <c r="E67" i="11"/>
  <c r="C67" i="11"/>
  <c r="E66" i="11"/>
  <c r="C66" i="11"/>
  <c r="E65" i="11"/>
  <c r="C65" i="11"/>
  <c r="E64" i="11"/>
  <c r="C64" i="11"/>
  <c r="E63" i="11"/>
  <c r="C63" i="11"/>
  <c r="E62" i="11"/>
  <c r="E61" i="11" s="1"/>
  <c r="C62" i="11"/>
  <c r="C61" i="11"/>
  <c r="E60" i="11"/>
  <c r="C60" i="11"/>
  <c r="E59" i="11"/>
  <c r="C59" i="11"/>
  <c r="E58" i="11"/>
  <c r="C58" i="11"/>
  <c r="E57" i="11"/>
  <c r="C57" i="11"/>
  <c r="E56" i="11"/>
  <c r="E55" i="11" s="1"/>
  <c r="C56" i="11"/>
  <c r="C55" i="11"/>
  <c r="E49" i="11"/>
  <c r="D49" i="11"/>
  <c r="C49" i="11"/>
  <c r="E48" i="11"/>
  <c r="D48" i="11"/>
  <c r="C48" i="11"/>
  <c r="E47" i="11"/>
  <c r="D47" i="11"/>
  <c r="C47" i="11"/>
  <c r="E45" i="11"/>
  <c r="D45" i="11"/>
  <c r="C45" i="11"/>
  <c r="E44" i="11"/>
  <c r="D44" i="11"/>
  <c r="C44" i="11"/>
  <c r="E43" i="11"/>
  <c r="D43" i="11"/>
  <c r="C43" i="11"/>
  <c r="E42" i="11"/>
  <c r="D42" i="11"/>
  <c r="C42" i="11"/>
  <c r="E40" i="11"/>
  <c r="D40" i="11"/>
  <c r="C40" i="11"/>
  <c r="E39" i="11"/>
  <c r="D39" i="11"/>
  <c r="C39" i="11"/>
  <c r="E37" i="11"/>
  <c r="D37" i="11"/>
  <c r="C37" i="11"/>
  <c r="E36" i="11"/>
  <c r="D36" i="11"/>
  <c r="C36" i="11"/>
  <c r="E35" i="11"/>
  <c r="D35" i="11"/>
  <c r="C35" i="11"/>
  <c r="E34" i="11"/>
  <c r="D34" i="11"/>
  <c r="C34" i="11"/>
  <c r="E33" i="11"/>
  <c r="D33" i="11"/>
  <c r="C33" i="11"/>
  <c r="E32" i="11"/>
  <c r="D32" i="11"/>
  <c r="C32" i="11"/>
  <c r="E31" i="11"/>
  <c r="D31" i="11"/>
  <c r="C31" i="11"/>
  <c r="E30" i="11"/>
  <c r="D30" i="11"/>
  <c r="C30" i="11"/>
  <c r="E29" i="11"/>
  <c r="D29" i="11"/>
  <c r="C29" i="11"/>
  <c r="E28" i="11"/>
  <c r="D28" i="11"/>
  <c r="C28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E22" i="11"/>
  <c r="D22" i="11"/>
  <c r="C22" i="11"/>
  <c r="E21" i="11"/>
  <c r="D21" i="11"/>
  <c r="C21" i="11"/>
  <c r="E20" i="11"/>
  <c r="D20" i="11"/>
  <c r="C20" i="11"/>
  <c r="E19" i="11"/>
  <c r="D19" i="11"/>
  <c r="C19" i="11"/>
  <c r="E18" i="11"/>
  <c r="D18" i="11"/>
  <c r="C18" i="11"/>
  <c r="E17" i="11"/>
  <c r="D17" i="11"/>
  <c r="C17" i="11"/>
  <c r="E16" i="11"/>
  <c r="D16" i="11"/>
  <c r="C16" i="11"/>
  <c r="E15" i="11"/>
  <c r="D15" i="11"/>
  <c r="C15" i="11"/>
  <c r="E14" i="11"/>
  <c r="D14" i="11"/>
  <c r="C14" i="11"/>
  <c r="C8" i="11"/>
  <c r="C6" i="11"/>
  <c r="A5" i="11"/>
  <c r="C4" i="11"/>
  <c r="A4" i="11"/>
  <c r="A3" i="11"/>
  <c r="A2" i="11"/>
  <c r="C109" i="11" l="1"/>
  <c r="E315" i="3"/>
  <c r="D109" i="11"/>
  <c r="E155" i="11"/>
  <c r="E207" i="11"/>
  <c r="E235" i="11"/>
  <c r="E310" i="11" s="1"/>
  <c r="C50" i="11"/>
  <c r="C76" i="11"/>
  <c r="C84" i="11"/>
  <c r="E109" i="11"/>
  <c r="C139" i="11"/>
  <c r="C148" i="11" s="1"/>
  <c r="C168" i="11"/>
  <c r="C207" i="11"/>
  <c r="E284" i="11"/>
  <c r="C294" i="11"/>
  <c r="E294" i="11"/>
  <c r="E306" i="11"/>
  <c r="E50" i="11"/>
  <c r="F109" i="11"/>
  <c r="C155" i="11"/>
  <c r="E168" i="11"/>
  <c r="E221" i="11"/>
  <c r="E76" i="11"/>
  <c r="E348" i="2"/>
  <c r="E347" i="2"/>
  <c r="E339" i="2"/>
  <c r="E338" i="2"/>
  <c r="C333" i="2"/>
  <c r="C325" i="2"/>
  <c r="E305" i="2"/>
  <c r="D305" i="2"/>
  <c r="C305" i="2"/>
  <c r="E304" i="2"/>
  <c r="D304" i="2"/>
  <c r="C304" i="2"/>
  <c r="E303" i="2"/>
  <c r="D303" i="2"/>
  <c r="C303" i="2"/>
  <c r="E302" i="2"/>
  <c r="D302" i="2"/>
  <c r="C302" i="2"/>
  <c r="E301" i="2"/>
  <c r="D301" i="2"/>
  <c r="C301" i="2"/>
  <c r="E300" i="2"/>
  <c r="D300" i="2"/>
  <c r="C300" i="2"/>
  <c r="E299" i="2"/>
  <c r="D299" i="2"/>
  <c r="C299" i="2"/>
  <c r="E293" i="2"/>
  <c r="D293" i="2"/>
  <c r="C293" i="2"/>
  <c r="E292" i="2"/>
  <c r="D292" i="2"/>
  <c r="C292" i="2"/>
  <c r="E291" i="2"/>
  <c r="D291" i="2"/>
  <c r="C291" i="2"/>
  <c r="E290" i="2"/>
  <c r="D290" i="2"/>
  <c r="C290" i="2"/>
  <c r="E289" i="2"/>
  <c r="D289" i="2"/>
  <c r="C289" i="2"/>
  <c r="E283" i="2"/>
  <c r="D283" i="2"/>
  <c r="C283" i="2"/>
  <c r="E282" i="2"/>
  <c r="D282" i="2"/>
  <c r="C282" i="2"/>
  <c r="E281" i="2"/>
  <c r="D281" i="2"/>
  <c r="C281" i="2"/>
  <c r="E280" i="2"/>
  <c r="D280" i="2"/>
  <c r="C280" i="2"/>
  <c r="E279" i="2"/>
  <c r="D279" i="2"/>
  <c r="C279" i="2"/>
  <c r="E278" i="2"/>
  <c r="D278" i="2"/>
  <c r="C278" i="2"/>
  <c r="E276" i="2"/>
  <c r="D276" i="2"/>
  <c r="C276" i="2"/>
  <c r="E275" i="2"/>
  <c r="D275" i="2"/>
  <c r="C275" i="2"/>
  <c r="E274" i="2"/>
  <c r="D274" i="2"/>
  <c r="C274" i="2"/>
  <c r="E273" i="2"/>
  <c r="D273" i="2"/>
  <c r="C273" i="2"/>
  <c r="E272" i="2"/>
  <c r="D272" i="2"/>
  <c r="C272" i="2"/>
  <c r="E271" i="2"/>
  <c r="D271" i="2"/>
  <c r="C271" i="2"/>
  <c r="E270" i="2"/>
  <c r="D270" i="2"/>
  <c r="C270" i="2"/>
  <c r="E269" i="2"/>
  <c r="D269" i="2"/>
  <c r="C269" i="2"/>
  <c r="E268" i="2"/>
  <c r="D268" i="2"/>
  <c r="C268" i="2"/>
  <c r="E267" i="2"/>
  <c r="D267" i="2"/>
  <c r="C267" i="2"/>
  <c r="E266" i="2"/>
  <c r="D266" i="2"/>
  <c r="C266" i="2"/>
  <c r="E265" i="2"/>
  <c r="D265" i="2"/>
  <c r="C265" i="2"/>
  <c r="E264" i="2"/>
  <c r="D264" i="2"/>
  <c r="C264" i="2"/>
  <c r="E263" i="2"/>
  <c r="D263" i="2"/>
  <c r="C263" i="2"/>
  <c r="E262" i="2"/>
  <c r="D262" i="2"/>
  <c r="C262" i="2"/>
  <c r="E261" i="2"/>
  <c r="D261" i="2"/>
  <c r="C261" i="2"/>
  <c r="E260" i="2"/>
  <c r="D260" i="2"/>
  <c r="C260" i="2"/>
  <c r="E259" i="2"/>
  <c r="D259" i="2"/>
  <c r="C259" i="2"/>
  <c r="E257" i="2"/>
  <c r="D257" i="2"/>
  <c r="C257" i="2"/>
  <c r="E256" i="2"/>
  <c r="D256" i="2"/>
  <c r="C256" i="2"/>
  <c r="E255" i="2"/>
  <c r="D255" i="2"/>
  <c r="C255" i="2"/>
  <c r="E254" i="2"/>
  <c r="D254" i="2"/>
  <c r="C254" i="2"/>
  <c r="E253" i="2"/>
  <c r="D253" i="2"/>
  <c r="C253" i="2"/>
  <c r="E252" i="2"/>
  <c r="D252" i="2"/>
  <c r="C252" i="2"/>
  <c r="E251" i="2"/>
  <c r="D251" i="2"/>
  <c r="C251" i="2"/>
  <c r="E250" i="2"/>
  <c r="D250" i="2"/>
  <c r="C250" i="2"/>
  <c r="E249" i="2"/>
  <c r="D249" i="2"/>
  <c r="C249" i="2"/>
  <c r="E248" i="2"/>
  <c r="D248" i="2"/>
  <c r="C248" i="2"/>
  <c r="E247" i="2"/>
  <c r="D247" i="2"/>
  <c r="C247" i="2"/>
  <c r="E246" i="2"/>
  <c r="D246" i="2"/>
  <c r="C246" i="2"/>
  <c r="E245" i="2"/>
  <c r="D245" i="2"/>
  <c r="C245" i="2"/>
  <c r="E244" i="2"/>
  <c r="D244" i="2"/>
  <c r="C244" i="2"/>
  <c r="E240" i="2"/>
  <c r="C240" i="2"/>
  <c r="E234" i="2"/>
  <c r="D234" i="2"/>
  <c r="C234" i="2"/>
  <c r="E233" i="2"/>
  <c r="D233" i="2"/>
  <c r="C233" i="2"/>
  <c r="C235" i="2" s="1"/>
  <c r="C228" i="2"/>
  <c r="E220" i="2"/>
  <c r="D220" i="2"/>
  <c r="C220" i="2"/>
  <c r="E219" i="2"/>
  <c r="C219" i="2"/>
  <c r="E218" i="2"/>
  <c r="D218" i="2"/>
  <c r="C218" i="2"/>
  <c r="E217" i="2"/>
  <c r="D217" i="2"/>
  <c r="C217" i="2"/>
  <c r="E216" i="2"/>
  <c r="D216" i="2"/>
  <c r="C216" i="2"/>
  <c r="E215" i="2"/>
  <c r="D215" i="2"/>
  <c r="C215" i="2"/>
  <c r="E214" i="2"/>
  <c r="D214" i="2"/>
  <c r="C214" i="2"/>
  <c r="E213" i="2"/>
  <c r="D213" i="2"/>
  <c r="C213" i="2"/>
  <c r="E212" i="2"/>
  <c r="D212" i="2"/>
  <c r="C212" i="2"/>
  <c r="E206" i="2"/>
  <c r="D206" i="2"/>
  <c r="C206" i="2"/>
  <c r="E205" i="2"/>
  <c r="D205" i="2"/>
  <c r="C205" i="2"/>
  <c r="E204" i="2"/>
  <c r="D204" i="2"/>
  <c r="C204" i="2"/>
  <c r="E203" i="2"/>
  <c r="D203" i="2"/>
  <c r="C203" i="2"/>
  <c r="E202" i="2"/>
  <c r="D202" i="2"/>
  <c r="C202" i="2"/>
  <c r="E201" i="2"/>
  <c r="D201" i="2"/>
  <c r="C201" i="2"/>
  <c r="E200" i="2"/>
  <c r="D200" i="2"/>
  <c r="C200" i="2"/>
  <c r="E199" i="2"/>
  <c r="D199" i="2"/>
  <c r="C199" i="2"/>
  <c r="E198" i="2"/>
  <c r="D198" i="2"/>
  <c r="C198" i="2"/>
  <c r="E197" i="2"/>
  <c r="D197" i="2"/>
  <c r="C197" i="2"/>
  <c r="E196" i="2"/>
  <c r="D196" i="2"/>
  <c r="C196" i="2"/>
  <c r="E195" i="2"/>
  <c r="D195" i="2"/>
  <c r="C195" i="2"/>
  <c r="E194" i="2"/>
  <c r="D194" i="2"/>
  <c r="C194" i="2"/>
  <c r="E193" i="2"/>
  <c r="D193" i="2"/>
  <c r="C193" i="2"/>
  <c r="E192" i="2"/>
  <c r="D192" i="2"/>
  <c r="C192" i="2"/>
  <c r="E191" i="2"/>
  <c r="D191" i="2"/>
  <c r="C191" i="2"/>
  <c r="E190" i="2"/>
  <c r="D190" i="2"/>
  <c r="C190" i="2"/>
  <c r="E189" i="2"/>
  <c r="D189" i="2"/>
  <c r="C189" i="2"/>
  <c r="E188" i="2"/>
  <c r="D188" i="2"/>
  <c r="C188" i="2"/>
  <c r="E187" i="2"/>
  <c r="D187" i="2"/>
  <c r="C187" i="2"/>
  <c r="E186" i="2"/>
  <c r="D186" i="2"/>
  <c r="C186" i="2"/>
  <c r="E185" i="2"/>
  <c r="D185" i="2"/>
  <c r="C185" i="2"/>
  <c r="E184" i="2"/>
  <c r="D184" i="2"/>
  <c r="C184" i="2"/>
  <c r="E183" i="2"/>
  <c r="D183" i="2"/>
  <c r="C183" i="2"/>
  <c r="E182" i="2"/>
  <c r="D182" i="2"/>
  <c r="C182" i="2"/>
  <c r="E181" i="2"/>
  <c r="D181" i="2"/>
  <c r="C181" i="2"/>
  <c r="E180" i="2"/>
  <c r="D180" i="2"/>
  <c r="C180" i="2"/>
  <c r="E179" i="2"/>
  <c r="D179" i="2"/>
  <c r="C179" i="2"/>
  <c r="E178" i="2"/>
  <c r="D178" i="2"/>
  <c r="C178" i="2"/>
  <c r="E177" i="2"/>
  <c r="D177" i="2"/>
  <c r="C177" i="2"/>
  <c r="E176" i="2"/>
  <c r="D176" i="2"/>
  <c r="C176" i="2"/>
  <c r="E175" i="2"/>
  <c r="D175" i="2"/>
  <c r="C175" i="2"/>
  <c r="E174" i="2"/>
  <c r="D174" i="2"/>
  <c r="C174" i="2"/>
  <c r="E173" i="2"/>
  <c r="D173" i="2"/>
  <c r="C173" i="2"/>
  <c r="E167" i="2"/>
  <c r="D167" i="2"/>
  <c r="C167" i="2"/>
  <c r="E166" i="2"/>
  <c r="D166" i="2"/>
  <c r="C166" i="2"/>
  <c r="E165" i="2"/>
  <c r="D165" i="2"/>
  <c r="C165" i="2"/>
  <c r="E164" i="2"/>
  <c r="D164" i="2"/>
  <c r="C164" i="2"/>
  <c r="E163" i="2"/>
  <c r="D163" i="2"/>
  <c r="C163" i="2"/>
  <c r="E162" i="2"/>
  <c r="D162" i="2"/>
  <c r="C162" i="2"/>
  <c r="E161" i="2"/>
  <c r="D161" i="2"/>
  <c r="C161" i="2"/>
  <c r="E160" i="2"/>
  <c r="D160" i="2"/>
  <c r="C160" i="2"/>
  <c r="E154" i="2"/>
  <c r="D154" i="2"/>
  <c r="C154" i="2"/>
  <c r="E153" i="2"/>
  <c r="D153" i="2"/>
  <c r="C153" i="2"/>
  <c r="E146" i="2"/>
  <c r="D146" i="2"/>
  <c r="C146" i="2"/>
  <c r="E145" i="2"/>
  <c r="D145" i="2"/>
  <c r="C145" i="2"/>
  <c r="E144" i="2"/>
  <c r="D144" i="2"/>
  <c r="C144" i="2"/>
  <c r="E143" i="2"/>
  <c r="D143" i="2"/>
  <c r="C143" i="2"/>
  <c r="E142" i="2"/>
  <c r="D142" i="2"/>
  <c r="C142" i="2"/>
  <c r="E141" i="2"/>
  <c r="D141" i="2"/>
  <c r="C141" i="2"/>
  <c r="E138" i="2"/>
  <c r="D138" i="2"/>
  <c r="C138" i="2"/>
  <c r="E137" i="2"/>
  <c r="D137" i="2"/>
  <c r="C137" i="2"/>
  <c r="E136" i="2"/>
  <c r="D136" i="2"/>
  <c r="C136" i="2"/>
  <c r="E135" i="2"/>
  <c r="D135" i="2"/>
  <c r="C135" i="2"/>
  <c r="E134" i="2"/>
  <c r="D134" i="2"/>
  <c r="C134" i="2"/>
  <c r="E133" i="2"/>
  <c r="D133" i="2"/>
  <c r="C133" i="2"/>
  <c r="E132" i="2"/>
  <c r="D132" i="2"/>
  <c r="C132" i="2"/>
  <c r="E131" i="2"/>
  <c r="D131" i="2"/>
  <c r="C131" i="2"/>
  <c r="E130" i="2"/>
  <c r="D130" i="2"/>
  <c r="C130" i="2"/>
  <c r="E129" i="2"/>
  <c r="D129" i="2"/>
  <c r="C129" i="2"/>
  <c r="E128" i="2"/>
  <c r="D128" i="2"/>
  <c r="C128" i="2"/>
  <c r="E127" i="2"/>
  <c r="D127" i="2"/>
  <c r="C127" i="2"/>
  <c r="E126" i="2"/>
  <c r="D126" i="2"/>
  <c r="C126" i="2"/>
  <c r="C121" i="2"/>
  <c r="E115" i="2"/>
  <c r="D115" i="2"/>
  <c r="C115" i="2"/>
  <c r="E114" i="2"/>
  <c r="D114" i="2"/>
  <c r="C114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E83" i="2"/>
  <c r="C83" i="2"/>
  <c r="E82" i="2"/>
  <c r="C82" i="2"/>
  <c r="E81" i="2"/>
  <c r="C81" i="2"/>
  <c r="E75" i="2"/>
  <c r="C75" i="2"/>
  <c r="E74" i="2"/>
  <c r="C74" i="2"/>
  <c r="E73" i="2"/>
  <c r="C73" i="2"/>
  <c r="E72" i="2"/>
  <c r="C72" i="2"/>
  <c r="E71" i="2"/>
  <c r="C71" i="2"/>
  <c r="E70" i="2"/>
  <c r="C70" i="2"/>
  <c r="E69" i="2"/>
  <c r="C69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C61" i="2"/>
  <c r="E60" i="2"/>
  <c r="C60" i="2"/>
  <c r="E59" i="2"/>
  <c r="C59" i="2"/>
  <c r="E58" i="2"/>
  <c r="C58" i="2"/>
  <c r="E57" i="2"/>
  <c r="C57" i="2"/>
  <c r="E56" i="2"/>
  <c r="C56" i="2"/>
  <c r="C55" i="2"/>
  <c r="C76" i="2" s="1"/>
  <c r="E49" i="2"/>
  <c r="D49" i="2"/>
  <c r="C49" i="2"/>
  <c r="E48" i="2"/>
  <c r="D48" i="2"/>
  <c r="C48" i="2"/>
  <c r="E47" i="2"/>
  <c r="D47" i="2"/>
  <c r="C47" i="2"/>
  <c r="E45" i="2"/>
  <c r="D45" i="2"/>
  <c r="C45" i="2"/>
  <c r="E44" i="2"/>
  <c r="D44" i="2"/>
  <c r="C44" i="2"/>
  <c r="E43" i="2"/>
  <c r="D43" i="2"/>
  <c r="C43" i="2"/>
  <c r="E42" i="2"/>
  <c r="D42" i="2"/>
  <c r="C42" i="2"/>
  <c r="E40" i="2"/>
  <c r="D40" i="2"/>
  <c r="C40" i="2"/>
  <c r="E39" i="2"/>
  <c r="D39" i="2"/>
  <c r="C39" i="2"/>
  <c r="E37" i="2"/>
  <c r="D37" i="2"/>
  <c r="C37" i="2"/>
  <c r="E36" i="2"/>
  <c r="D36" i="2"/>
  <c r="C36" i="2"/>
  <c r="E35" i="2"/>
  <c r="D35" i="2"/>
  <c r="C35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C8" i="2"/>
  <c r="C6" i="2"/>
  <c r="A5" i="2"/>
  <c r="C4" i="2"/>
  <c r="A4" i="2"/>
  <c r="A3" i="2"/>
  <c r="A2" i="2"/>
  <c r="E315" i="11" l="1"/>
  <c r="E50" i="2"/>
  <c r="E68" i="2"/>
  <c r="E116" i="2"/>
  <c r="E155" i="2"/>
  <c r="E235" i="2"/>
  <c r="C294" i="2"/>
  <c r="E61" i="2"/>
  <c r="C84" i="2"/>
  <c r="E109" i="2"/>
  <c r="C168" i="2"/>
  <c r="C221" i="2"/>
  <c r="C109" i="2"/>
  <c r="C116" i="2"/>
  <c r="E147" i="2"/>
  <c r="C147" i="2"/>
  <c r="C155" i="2"/>
  <c r="E207" i="2"/>
  <c r="C207" i="2"/>
  <c r="C284" i="2"/>
  <c r="D109" i="2"/>
  <c r="C139" i="2"/>
  <c r="E221" i="2"/>
  <c r="E294" i="2"/>
  <c r="C50" i="2"/>
  <c r="E84" i="2"/>
  <c r="F109" i="2"/>
  <c r="E139" i="2"/>
  <c r="E148" i="2" s="1"/>
  <c r="E168" i="2"/>
  <c r="E284" i="2"/>
  <c r="E306" i="2"/>
  <c r="E55" i="2"/>
  <c r="E76" i="2" s="1"/>
  <c r="E348" i="9"/>
  <c r="E347" i="9"/>
  <c r="E339" i="9"/>
  <c r="E338" i="9"/>
  <c r="C333" i="9"/>
  <c r="C325" i="9"/>
  <c r="E305" i="9"/>
  <c r="D305" i="9"/>
  <c r="C305" i="9"/>
  <c r="E304" i="9"/>
  <c r="D304" i="9"/>
  <c r="C304" i="9"/>
  <c r="E303" i="9"/>
  <c r="D303" i="9"/>
  <c r="C303" i="9"/>
  <c r="E302" i="9"/>
  <c r="D302" i="9"/>
  <c r="C302" i="9"/>
  <c r="E301" i="9"/>
  <c r="D301" i="9"/>
  <c r="C301" i="9"/>
  <c r="E300" i="9"/>
  <c r="D300" i="9"/>
  <c r="C300" i="9"/>
  <c r="E299" i="9"/>
  <c r="D299" i="9"/>
  <c r="C299" i="9"/>
  <c r="E293" i="9"/>
  <c r="D293" i="9"/>
  <c r="C293" i="9"/>
  <c r="E292" i="9"/>
  <c r="D292" i="9"/>
  <c r="C292" i="9"/>
  <c r="E291" i="9"/>
  <c r="D291" i="9"/>
  <c r="C291" i="9"/>
  <c r="E290" i="9"/>
  <c r="D290" i="9"/>
  <c r="C290" i="9"/>
  <c r="E289" i="9"/>
  <c r="D289" i="9"/>
  <c r="C289" i="9"/>
  <c r="E283" i="9"/>
  <c r="D283" i="9"/>
  <c r="C283" i="9"/>
  <c r="E282" i="9"/>
  <c r="D282" i="9"/>
  <c r="C282" i="9"/>
  <c r="E281" i="9"/>
  <c r="D281" i="9"/>
  <c r="C281" i="9"/>
  <c r="E280" i="9"/>
  <c r="D280" i="9"/>
  <c r="C280" i="9"/>
  <c r="E279" i="9"/>
  <c r="D279" i="9"/>
  <c r="C279" i="9"/>
  <c r="E278" i="9"/>
  <c r="D278" i="9"/>
  <c r="C278" i="9"/>
  <c r="E276" i="9"/>
  <c r="D276" i="9"/>
  <c r="C276" i="9"/>
  <c r="E275" i="9"/>
  <c r="D275" i="9"/>
  <c r="C275" i="9"/>
  <c r="E274" i="9"/>
  <c r="D274" i="9"/>
  <c r="C274" i="9"/>
  <c r="E273" i="9"/>
  <c r="D273" i="9"/>
  <c r="C273" i="9"/>
  <c r="E272" i="9"/>
  <c r="D272" i="9"/>
  <c r="C272" i="9"/>
  <c r="E271" i="9"/>
  <c r="D271" i="9"/>
  <c r="C271" i="9"/>
  <c r="E270" i="9"/>
  <c r="D270" i="9"/>
  <c r="C270" i="9"/>
  <c r="E269" i="9"/>
  <c r="D269" i="9"/>
  <c r="C269" i="9"/>
  <c r="E268" i="9"/>
  <c r="D268" i="9"/>
  <c r="C268" i="9"/>
  <c r="E267" i="9"/>
  <c r="D267" i="9"/>
  <c r="C267" i="9"/>
  <c r="E266" i="9"/>
  <c r="D266" i="9"/>
  <c r="C266" i="9"/>
  <c r="E265" i="9"/>
  <c r="D265" i="9"/>
  <c r="C265" i="9"/>
  <c r="E264" i="9"/>
  <c r="D264" i="9"/>
  <c r="C264" i="9"/>
  <c r="E263" i="9"/>
  <c r="D263" i="9"/>
  <c r="C263" i="9"/>
  <c r="E262" i="9"/>
  <c r="D262" i="9"/>
  <c r="C262" i="9"/>
  <c r="E261" i="9"/>
  <c r="D261" i="9"/>
  <c r="C261" i="9"/>
  <c r="E260" i="9"/>
  <c r="D260" i="9"/>
  <c r="C260" i="9"/>
  <c r="E259" i="9"/>
  <c r="D259" i="9"/>
  <c r="C259" i="9"/>
  <c r="E257" i="9"/>
  <c r="D257" i="9"/>
  <c r="C257" i="9"/>
  <c r="E256" i="9"/>
  <c r="D256" i="9"/>
  <c r="C256" i="9"/>
  <c r="E255" i="9"/>
  <c r="D255" i="9"/>
  <c r="C255" i="9"/>
  <c r="E254" i="9"/>
  <c r="D254" i="9"/>
  <c r="C254" i="9"/>
  <c r="E253" i="9"/>
  <c r="D253" i="9"/>
  <c r="C253" i="9"/>
  <c r="E252" i="9"/>
  <c r="D252" i="9"/>
  <c r="C252" i="9"/>
  <c r="E251" i="9"/>
  <c r="D251" i="9"/>
  <c r="C251" i="9"/>
  <c r="E250" i="9"/>
  <c r="D250" i="9"/>
  <c r="C250" i="9"/>
  <c r="E249" i="9"/>
  <c r="D249" i="9"/>
  <c r="C249" i="9"/>
  <c r="E248" i="9"/>
  <c r="D248" i="9"/>
  <c r="C248" i="9"/>
  <c r="E247" i="9"/>
  <c r="D247" i="9"/>
  <c r="C247" i="9"/>
  <c r="E246" i="9"/>
  <c r="D246" i="9"/>
  <c r="C246" i="9"/>
  <c r="E245" i="9"/>
  <c r="D245" i="9"/>
  <c r="C245" i="9"/>
  <c r="E244" i="9"/>
  <c r="D244" i="9"/>
  <c r="C244" i="9"/>
  <c r="E240" i="9"/>
  <c r="C240" i="9"/>
  <c r="E234" i="9"/>
  <c r="D234" i="9"/>
  <c r="C234" i="9"/>
  <c r="E233" i="9"/>
  <c r="D233" i="9"/>
  <c r="C233" i="9"/>
  <c r="C228" i="9"/>
  <c r="E220" i="9"/>
  <c r="D220" i="9"/>
  <c r="C220" i="9"/>
  <c r="E219" i="9"/>
  <c r="C219" i="9"/>
  <c r="E218" i="9"/>
  <c r="D218" i="9"/>
  <c r="C218" i="9"/>
  <c r="E217" i="9"/>
  <c r="D217" i="9"/>
  <c r="C217" i="9"/>
  <c r="E216" i="9"/>
  <c r="D216" i="9"/>
  <c r="C216" i="9"/>
  <c r="E215" i="9"/>
  <c r="D215" i="9"/>
  <c r="C215" i="9"/>
  <c r="E214" i="9"/>
  <c r="D214" i="9"/>
  <c r="C214" i="9"/>
  <c r="E213" i="9"/>
  <c r="D213" i="9"/>
  <c r="C213" i="9"/>
  <c r="E212" i="9"/>
  <c r="D212" i="9"/>
  <c r="C212" i="9"/>
  <c r="E206" i="9"/>
  <c r="D206" i="9"/>
  <c r="C206" i="9"/>
  <c r="E205" i="9"/>
  <c r="D205" i="9"/>
  <c r="C205" i="9"/>
  <c r="E204" i="9"/>
  <c r="D204" i="9"/>
  <c r="C204" i="9"/>
  <c r="E203" i="9"/>
  <c r="D203" i="9"/>
  <c r="C203" i="9"/>
  <c r="E202" i="9"/>
  <c r="D202" i="9"/>
  <c r="C202" i="9"/>
  <c r="E201" i="9"/>
  <c r="D201" i="9"/>
  <c r="C201" i="9"/>
  <c r="E200" i="9"/>
  <c r="D200" i="9"/>
  <c r="C200" i="9"/>
  <c r="E199" i="9"/>
  <c r="D199" i="9"/>
  <c r="C199" i="9"/>
  <c r="E198" i="9"/>
  <c r="D198" i="9"/>
  <c r="C198" i="9"/>
  <c r="E197" i="9"/>
  <c r="D197" i="9"/>
  <c r="C197" i="9"/>
  <c r="E196" i="9"/>
  <c r="D196" i="9"/>
  <c r="C196" i="9"/>
  <c r="E195" i="9"/>
  <c r="D195" i="9"/>
  <c r="C195" i="9"/>
  <c r="E194" i="9"/>
  <c r="D194" i="9"/>
  <c r="C194" i="9"/>
  <c r="E193" i="9"/>
  <c r="D193" i="9"/>
  <c r="C193" i="9"/>
  <c r="E192" i="9"/>
  <c r="D192" i="9"/>
  <c r="C192" i="9"/>
  <c r="E191" i="9"/>
  <c r="D191" i="9"/>
  <c r="C191" i="9"/>
  <c r="E190" i="9"/>
  <c r="D190" i="9"/>
  <c r="C190" i="9"/>
  <c r="E189" i="9"/>
  <c r="D189" i="9"/>
  <c r="C189" i="9"/>
  <c r="E188" i="9"/>
  <c r="D188" i="9"/>
  <c r="C188" i="9"/>
  <c r="E187" i="9"/>
  <c r="D187" i="9"/>
  <c r="C187" i="9"/>
  <c r="E186" i="9"/>
  <c r="D186" i="9"/>
  <c r="C186" i="9"/>
  <c r="E185" i="9"/>
  <c r="D185" i="9"/>
  <c r="C185" i="9"/>
  <c r="E184" i="9"/>
  <c r="D184" i="9"/>
  <c r="C184" i="9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8" i="9"/>
  <c r="D178" i="9"/>
  <c r="C178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67" i="9"/>
  <c r="D167" i="9"/>
  <c r="C167" i="9"/>
  <c r="E166" i="9"/>
  <c r="D166" i="9"/>
  <c r="C166" i="9"/>
  <c r="E165" i="9"/>
  <c r="D165" i="9"/>
  <c r="C165" i="9"/>
  <c r="E164" i="9"/>
  <c r="D164" i="9"/>
  <c r="C164" i="9"/>
  <c r="E163" i="9"/>
  <c r="D163" i="9"/>
  <c r="C163" i="9"/>
  <c r="E162" i="9"/>
  <c r="D162" i="9"/>
  <c r="C162" i="9"/>
  <c r="E161" i="9"/>
  <c r="D161" i="9"/>
  <c r="C161" i="9"/>
  <c r="E160" i="9"/>
  <c r="D160" i="9"/>
  <c r="C160" i="9"/>
  <c r="E154" i="9"/>
  <c r="D154" i="9"/>
  <c r="C154" i="9"/>
  <c r="E153" i="9"/>
  <c r="D153" i="9"/>
  <c r="C153" i="9"/>
  <c r="E146" i="9"/>
  <c r="D146" i="9"/>
  <c r="C146" i="9"/>
  <c r="E145" i="9"/>
  <c r="D145" i="9"/>
  <c r="C145" i="9"/>
  <c r="E144" i="9"/>
  <c r="D144" i="9"/>
  <c r="C144" i="9"/>
  <c r="E143" i="9"/>
  <c r="D143" i="9"/>
  <c r="C143" i="9"/>
  <c r="E142" i="9"/>
  <c r="D142" i="9"/>
  <c r="C142" i="9"/>
  <c r="E141" i="9"/>
  <c r="D141" i="9"/>
  <c r="C141" i="9"/>
  <c r="E138" i="9"/>
  <c r="D138" i="9"/>
  <c r="C138" i="9"/>
  <c r="E137" i="9"/>
  <c r="D137" i="9"/>
  <c r="C137" i="9"/>
  <c r="E136" i="9"/>
  <c r="D136" i="9"/>
  <c r="C136" i="9"/>
  <c r="E135" i="9"/>
  <c r="D135" i="9"/>
  <c r="C135" i="9"/>
  <c r="E134" i="9"/>
  <c r="D134" i="9"/>
  <c r="C134" i="9"/>
  <c r="E133" i="9"/>
  <c r="D133" i="9"/>
  <c r="C133" i="9"/>
  <c r="E132" i="9"/>
  <c r="D132" i="9"/>
  <c r="C132" i="9"/>
  <c r="E131" i="9"/>
  <c r="D131" i="9"/>
  <c r="C131" i="9"/>
  <c r="E130" i="9"/>
  <c r="D130" i="9"/>
  <c r="C130" i="9"/>
  <c r="E129" i="9"/>
  <c r="D129" i="9"/>
  <c r="C129" i="9"/>
  <c r="E128" i="9"/>
  <c r="D128" i="9"/>
  <c r="C128" i="9"/>
  <c r="E127" i="9"/>
  <c r="D127" i="9"/>
  <c r="C127" i="9"/>
  <c r="E126" i="9"/>
  <c r="D126" i="9"/>
  <c r="C126" i="9"/>
  <c r="C121" i="9"/>
  <c r="E115" i="9"/>
  <c r="D115" i="9"/>
  <c r="C115" i="9"/>
  <c r="E114" i="9"/>
  <c r="D114" i="9"/>
  <c r="C114" i="9"/>
  <c r="F108" i="9"/>
  <c r="E108" i="9"/>
  <c r="D108" i="9"/>
  <c r="C108" i="9"/>
  <c r="F107" i="9"/>
  <c r="E107" i="9"/>
  <c r="D107" i="9"/>
  <c r="C107" i="9"/>
  <c r="F106" i="9"/>
  <c r="E106" i="9"/>
  <c r="D106" i="9"/>
  <c r="C106" i="9"/>
  <c r="F105" i="9"/>
  <c r="E105" i="9"/>
  <c r="D105" i="9"/>
  <c r="C105" i="9"/>
  <c r="F104" i="9"/>
  <c r="E104" i="9"/>
  <c r="D104" i="9"/>
  <c r="C104" i="9"/>
  <c r="F103" i="9"/>
  <c r="E103" i="9"/>
  <c r="D103" i="9"/>
  <c r="C103" i="9"/>
  <c r="F102" i="9"/>
  <c r="E102" i="9"/>
  <c r="D102" i="9"/>
  <c r="C102" i="9"/>
  <c r="F101" i="9"/>
  <c r="E101" i="9"/>
  <c r="D101" i="9"/>
  <c r="C101" i="9"/>
  <c r="F100" i="9"/>
  <c r="E100" i="9"/>
  <c r="D100" i="9"/>
  <c r="C100" i="9"/>
  <c r="F99" i="9"/>
  <c r="E99" i="9"/>
  <c r="D99" i="9"/>
  <c r="C99" i="9"/>
  <c r="F98" i="9"/>
  <c r="E98" i="9"/>
  <c r="D98" i="9"/>
  <c r="C98" i="9"/>
  <c r="F97" i="9"/>
  <c r="E97" i="9"/>
  <c r="D97" i="9"/>
  <c r="C97" i="9"/>
  <c r="F96" i="9"/>
  <c r="E96" i="9"/>
  <c r="D96" i="9"/>
  <c r="C96" i="9"/>
  <c r="F95" i="9"/>
  <c r="E95" i="9"/>
  <c r="D95" i="9"/>
  <c r="C95" i="9"/>
  <c r="F94" i="9"/>
  <c r="E94" i="9"/>
  <c r="D94" i="9"/>
  <c r="C94" i="9"/>
  <c r="F93" i="9"/>
  <c r="E93" i="9"/>
  <c r="D93" i="9"/>
  <c r="C93" i="9"/>
  <c r="F92" i="9"/>
  <c r="E92" i="9"/>
  <c r="D92" i="9"/>
  <c r="C92" i="9"/>
  <c r="F91" i="9"/>
  <c r="E91" i="9"/>
  <c r="D91" i="9"/>
  <c r="C91" i="9"/>
  <c r="F90" i="9"/>
  <c r="E90" i="9"/>
  <c r="D90" i="9"/>
  <c r="C90" i="9"/>
  <c r="E83" i="9"/>
  <c r="C83" i="9"/>
  <c r="E82" i="9"/>
  <c r="C82" i="9"/>
  <c r="E81" i="9"/>
  <c r="C81" i="9"/>
  <c r="E75" i="9"/>
  <c r="C75" i="9"/>
  <c r="E74" i="9"/>
  <c r="C74" i="9"/>
  <c r="E73" i="9"/>
  <c r="C73" i="9"/>
  <c r="E72" i="9"/>
  <c r="C72" i="9"/>
  <c r="E71" i="9"/>
  <c r="C71" i="9"/>
  <c r="E70" i="9"/>
  <c r="C70" i="9"/>
  <c r="E69" i="9"/>
  <c r="C69" i="9"/>
  <c r="C68" i="9"/>
  <c r="E67" i="9"/>
  <c r="C67" i="9"/>
  <c r="E66" i="9"/>
  <c r="C66" i="9"/>
  <c r="E65" i="9"/>
  <c r="C65" i="9"/>
  <c r="E64" i="9"/>
  <c r="C64" i="9"/>
  <c r="E63" i="9"/>
  <c r="C63" i="9"/>
  <c r="E62" i="9"/>
  <c r="C62" i="9"/>
  <c r="C61" i="9"/>
  <c r="E60" i="9"/>
  <c r="C60" i="9"/>
  <c r="E59" i="9"/>
  <c r="C59" i="9"/>
  <c r="E58" i="9"/>
  <c r="C58" i="9"/>
  <c r="E57" i="9"/>
  <c r="C57" i="9"/>
  <c r="E56" i="9"/>
  <c r="C56" i="9"/>
  <c r="C55" i="9"/>
  <c r="E49" i="9"/>
  <c r="D49" i="9"/>
  <c r="C49" i="9"/>
  <c r="E48" i="9"/>
  <c r="D48" i="9"/>
  <c r="C48" i="9"/>
  <c r="E47" i="9"/>
  <c r="D47" i="9"/>
  <c r="C47" i="9"/>
  <c r="E45" i="9"/>
  <c r="D45" i="9"/>
  <c r="C45" i="9"/>
  <c r="E44" i="9"/>
  <c r="D44" i="9"/>
  <c r="C44" i="9"/>
  <c r="E43" i="9"/>
  <c r="D43" i="9"/>
  <c r="C43" i="9"/>
  <c r="E42" i="9"/>
  <c r="D42" i="9"/>
  <c r="C42" i="9"/>
  <c r="E40" i="9"/>
  <c r="D40" i="9"/>
  <c r="C40" i="9"/>
  <c r="E39" i="9"/>
  <c r="D39" i="9"/>
  <c r="C39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D14" i="9"/>
  <c r="C14" i="9"/>
  <c r="C8" i="9"/>
  <c r="C6" i="9"/>
  <c r="A5" i="9"/>
  <c r="C4" i="9"/>
  <c r="A4" i="9"/>
  <c r="A3" i="9"/>
  <c r="A2" i="9"/>
  <c r="E348" i="8"/>
  <c r="E347" i="8"/>
  <c r="E339" i="8"/>
  <c r="E338" i="8"/>
  <c r="C325" i="8"/>
  <c r="C333" i="8" s="1"/>
  <c r="E305" i="8"/>
  <c r="D305" i="8"/>
  <c r="C305" i="8"/>
  <c r="E304" i="8"/>
  <c r="D304" i="8"/>
  <c r="C304" i="8"/>
  <c r="E303" i="8"/>
  <c r="D303" i="8"/>
  <c r="C303" i="8"/>
  <c r="E302" i="8"/>
  <c r="D302" i="8"/>
  <c r="C302" i="8"/>
  <c r="E301" i="8"/>
  <c r="D301" i="8"/>
  <c r="C301" i="8"/>
  <c r="E300" i="8"/>
  <c r="D300" i="8"/>
  <c r="C300" i="8"/>
  <c r="E299" i="8"/>
  <c r="D299" i="8"/>
  <c r="C299" i="8"/>
  <c r="E293" i="8"/>
  <c r="D293" i="8"/>
  <c r="C293" i="8"/>
  <c r="E292" i="8"/>
  <c r="D292" i="8"/>
  <c r="C292" i="8"/>
  <c r="E291" i="8"/>
  <c r="D291" i="8"/>
  <c r="C291" i="8"/>
  <c r="E290" i="8"/>
  <c r="D290" i="8"/>
  <c r="C290" i="8"/>
  <c r="E289" i="8"/>
  <c r="D289" i="8"/>
  <c r="C289" i="8"/>
  <c r="E283" i="8"/>
  <c r="D283" i="8"/>
  <c r="C283" i="8"/>
  <c r="E282" i="8"/>
  <c r="D282" i="8"/>
  <c r="C282" i="8"/>
  <c r="E281" i="8"/>
  <c r="D281" i="8"/>
  <c r="C281" i="8"/>
  <c r="E280" i="8"/>
  <c r="D280" i="8"/>
  <c r="C280" i="8"/>
  <c r="E279" i="8"/>
  <c r="D279" i="8"/>
  <c r="C279" i="8"/>
  <c r="E278" i="8"/>
  <c r="D278" i="8"/>
  <c r="C278" i="8"/>
  <c r="E276" i="8"/>
  <c r="D276" i="8"/>
  <c r="C276" i="8"/>
  <c r="E275" i="8"/>
  <c r="D275" i="8"/>
  <c r="C275" i="8"/>
  <c r="E274" i="8"/>
  <c r="D274" i="8"/>
  <c r="C274" i="8"/>
  <c r="E273" i="8"/>
  <c r="D273" i="8"/>
  <c r="C273" i="8"/>
  <c r="E272" i="8"/>
  <c r="D272" i="8"/>
  <c r="C272" i="8"/>
  <c r="E271" i="8"/>
  <c r="D271" i="8"/>
  <c r="C271" i="8"/>
  <c r="E270" i="8"/>
  <c r="D270" i="8"/>
  <c r="C270" i="8"/>
  <c r="E269" i="8"/>
  <c r="D269" i="8"/>
  <c r="C269" i="8"/>
  <c r="E268" i="8"/>
  <c r="D268" i="8"/>
  <c r="C268" i="8"/>
  <c r="E267" i="8"/>
  <c r="D267" i="8"/>
  <c r="C267" i="8"/>
  <c r="E266" i="8"/>
  <c r="D266" i="8"/>
  <c r="C266" i="8"/>
  <c r="E265" i="8"/>
  <c r="D265" i="8"/>
  <c r="C265" i="8"/>
  <c r="E264" i="8"/>
  <c r="D264" i="8"/>
  <c r="C264" i="8"/>
  <c r="E263" i="8"/>
  <c r="D263" i="8"/>
  <c r="C263" i="8"/>
  <c r="E262" i="8"/>
  <c r="D262" i="8"/>
  <c r="C262" i="8"/>
  <c r="E261" i="8"/>
  <c r="D261" i="8"/>
  <c r="C261" i="8"/>
  <c r="E260" i="8"/>
  <c r="D260" i="8"/>
  <c r="C260" i="8"/>
  <c r="E259" i="8"/>
  <c r="D259" i="8"/>
  <c r="C259" i="8"/>
  <c r="E257" i="8"/>
  <c r="D257" i="8"/>
  <c r="C257" i="8"/>
  <c r="E256" i="8"/>
  <c r="D256" i="8"/>
  <c r="C256" i="8"/>
  <c r="E255" i="8"/>
  <c r="D255" i="8"/>
  <c r="C255" i="8"/>
  <c r="E254" i="8"/>
  <c r="D254" i="8"/>
  <c r="C254" i="8"/>
  <c r="E253" i="8"/>
  <c r="D253" i="8"/>
  <c r="C253" i="8"/>
  <c r="E252" i="8"/>
  <c r="D252" i="8"/>
  <c r="C252" i="8"/>
  <c r="E251" i="8"/>
  <c r="D251" i="8"/>
  <c r="C251" i="8"/>
  <c r="E250" i="8"/>
  <c r="D250" i="8"/>
  <c r="C250" i="8"/>
  <c r="E249" i="8"/>
  <c r="D249" i="8"/>
  <c r="C249" i="8"/>
  <c r="E248" i="8"/>
  <c r="D248" i="8"/>
  <c r="C248" i="8"/>
  <c r="E247" i="8"/>
  <c r="D247" i="8"/>
  <c r="C247" i="8"/>
  <c r="E246" i="8"/>
  <c r="D246" i="8"/>
  <c r="C246" i="8"/>
  <c r="E245" i="8"/>
  <c r="D245" i="8"/>
  <c r="C245" i="8"/>
  <c r="E244" i="8"/>
  <c r="D244" i="8"/>
  <c r="C244" i="8"/>
  <c r="E240" i="8"/>
  <c r="C240" i="8"/>
  <c r="E234" i="8"/>
  <c r="D234" i="8"/>
  <c r="C234" i="8"/>
  <c r="E233" i="8"/>
  <c r="D233" i="8"/>
  <c r="C233" i="8"/>
  <c r="C228" i="8"/>
  <c r="E220" i="8"/>
  <c r="D220" i="8"/>
  <c r="C220" i="8"/>
  <c r="E219" i="8"/>
  <c r="C219" i="8"/>
  <c r="E218" i="8"/>
  <c r="D218" i="8"/>
  <c r="C218" i="8"/>
  <c r="E217" i="8"/>
  <c r="D217" i="8"/>
  <c r="C217" i="8"/>
  <c r="E216" i="8"/>
  <c r="D216" i="8"/>
  <c r="C216" i="8"/>
  <c r="E215" i="8"/>
  <c r="D215" i="8"/>
  <c r="C215" i="8"/>
  <c r="E214" i="8"/>
  <c r="D214" i="8"/>
  <c r="C214" i="8"/>
  <c r="E213" i="8"/>
  <c r="D213" i="8"/>
  <c r="C213" i="8"/>
  <c r="E212" i="8"/>
  <c r="D212" i="8"/>
  <c r="C212" i="8"/>
  <c r="E206" i="8"/>
  <c r="D206" i="8"/>
  <c r="C206" i="8"/>
  <c r="E205" i="8"/>
  <c r="D205" i="8"/>
  <c r="C205" i="8"/>
  <c r="E204" i="8"/>
  <c r="D204" i="8"/>
  <c r="C204" i="8"/>
  <c r="E203" i="8"/>
  <c r="D203" i="8"/>
  <c r="C203" i="8"/>
  <c r="E202" i="8"/>
  <c r="D202" i="8"/>
  <c r="C202" i="8"/>
  <c r="E201" i="8"/>
  <c r="D201" i="8"/>
  <c r="C201" i="8"/>
  <c r="E200" i="8"/>
  <c r="D200" i="8"/>
  <c r="C200" i="8"/>
  <c r="E199" i="8"/>
  <c r="D199" i="8"/>
  <c r="C199" i="8"/>
  <c r="E198" i="8"/>
  <c r="D198" i="8"/>
  <c r="C198" i="8"/>
  <c r="E197" i="8"/>
  <c r="D197" i="8"/>
  <c r="C197" i="8"/>
  <c r="E196" i="8"/>
  <c r="D196" i="8"/>
  <c r="C196" i="8"/>
  <c r="E195" i="8"/>
  <c r="D195" i="8"/>
  <c r="C195" i="8"/>
  <c r="E194" i="8"/>
  <c r="D194" i="8"/>
  <c r="C194" i="8"/>
  <c r="E193" i="8"/>
  <c r="D193" i="8"/>
  <c r="C193" i="8"/>
  <c r="E192" i="8"/>
  <c r="D192" i="8"/>
  <c r="C192" i="8"/>
  <c r="E191" i="8"/>
  <c r="D191" i="8"/>
  <c r="C191" i="8"/>
  <c r="E190" i="8"/>
  <c r="D190" i="8"/>
  <c r="C190" i="8"/>
  <c r="E189" i="8"/>
  <c r="D189" i="8"/>
  <c r="C189" i="8"/>
  <c r="E188" i="8"/>
  <c r="D188" i="8"/>
  <c r="C188" i="8"/>
  <c r="E187" i="8"/>
  <c r="D187" i="8"/>
  <c r="C187" i="8"/>
  <c r="E186" i="8"/>
  <c r="D186" i="8"/>
  <c r="C186" i="8"/>
  <c r="E185" i="8"/>
  <c r="D185" i="8"/>
  <c r="C185" i="8"/>
  <c r="E184" i="8"/>
  <c r="D184" i="8"/>
  <c r="C184" i="8"/>
  <c r="E183" i="8"/>
  <c r="D183" i="8"/>
  <c r="C183" i="8"/>
  <c r="E182" i="8"/>
  <c r="D182" i="8"/>
  <c r="C182" i="8"/>
  <c r="E181" i="8"/>
  <c r="D181" i="8"/>
  <c r="C181" i="8"/>
  <c r="E180" i="8"/>
  <c r="D180" i="8"/>
  <c r="C180" i="8"/>
  <c r="E179" i="8"/>
  <c r="D179" i="8"/>
  <c r="C179" i="8"/>
  <c r="E178" i="8"/>
  <c r="D178" i="8"/>
  <c r="C178" i="8"/>
  <c r="E177" i="8"/>
  <c r="D177" i="8"/>
  <c r="C177" i="8"/>
  <c r="E176" i="8"/>
  <c r="D176" i="8"/>
  <c r="C176" i="8"/>
  <c r="E175" i="8"/>
  <c r="D175" i="8"/>
  <c r="C175" i="8"/>
  <c r="E174" i="8"/>
  <c r="D174" i="8"/>
  <c r="C174" i="8"/>
  <c r="E173" i="8"/>
  <c r="D173" i="8"/>
  <c r="C173" i="8"/>
  <c r="E167" i="8"/>
  <c r="D167" i="8"/>
  <c r="C167" i="8"/>
  <c r="E166" i="8"/>
  <c r="D166" i="8"/>
  <c r="C166" i="8"/>
  <c r="E165" i="8"/>
  <c r="D165" i="8"/>
  <c r="C165" i="8"/>
  <c r="E164" i="8"/>
  <c r="D164" i="8"/>
  <c r="C164" i="8"/>
  <c r="E163" i="8"/>
  <c r="D163" i="8"/>
  <c r="C163" i="8"/>
  <c r="E162" i="8"/>
  <c r="D162" i="8"/>
  <c r="C162" i="8"/>
  <c r="E161" i="8"/>
  <c r="D161" i="8"/>
  <c r="C161" i="8"/>
  <c r="E160" i="8"/>
  <c r="D160" i="8"/>
  <c r="C160" i="8"/>
  <c r="E154" i="8"/>
  <c r="D154" i="8"/>
  <c r="C154" i="8"/>
  <c r="E153" i="8"/>
  <c r="D153" i="8"/>
  <c r="C153" i="8"/>
  <c r="E146" i="8"/>
  <c r="D146" i="8"/>
  <c r="C146" i="8"/>
  <c r="E145" i="8"/>
  <c r="D145" i="8"/>
  <c r="C145" i="8"/>
  <c r="E144" i="8"/>
  <c r="D144" i="8"/>
  <c r="C144" i="8"/>
  <c r="E143" i="8"/>
  <c r="D143" i="8"/>
  <c r="C143" i="8"/>
  <c r="E142" i="8"/>
  <c r="D142" i="8"/>
  <c r="C142" i="8"/>
  <c r="E141" i="8"/>
  <c r="D141" i="8"/>
  <c r="C141" i="8"/>
  <c r="E138" i="8"/>
  <c r="D138" i="8"/>
  <c r="C138" i="8"/>
  <c r="E137" i="8"/>
  <c r="D137" i="8"/>
  <c r="C137" i="8"/>
  <c r="E136" i="8"/>
  <c r="D136" i="8"/>
  <c r="C136" i="8"/>
  <c r="E135" i="8"/>
  <c r="D135" i="8"/>
  <c r="C135" i="8"/>
  <c r="E134" i="8"/>
  <c r="D134" i="8"/>
  <c r="C134" i="8"/>
  <c r="E133" i="8"/>
  <c r="D133" i="8"/>
  <c r="C133" i="8"/>
  <c r="E132" i="8"/>
  <c r="D132" i="8"/>
  <c r="C132" i="8"/>
  <c r="E131" i="8"/>
  <c r="D131" i="8"/>
  <c r="C131" i="8"/>
  <c r="E130" i="8"/>
  <c r="D130" i="8"/>
  <c r="C130" i="8"/>
  <c r="E129" i="8"/>
  <c r="D129" i="8"/>
  <c r="C129" i="8"/>
  <c r="E128" i="8"/>
  <c r="D128" i="8"/>
  <c r="C128" i="8"/>
  <c r="E127" i="8"/>
  <c r="D127" i="8"/>
  <c r="C127" i="8"/>
  <c r="E126" i="8"/>
  <c r="D126" i="8"/>
  <c r="C126" i="8"/>
  <c r="C121" i="8"/>
  <c r="E115" i="8"/>
  <c r="D115" i="8"/>
  <c r="C115" i="8"/>
  <c r="E114" i="8"/>
  <c r="D114" i="8"/>
  <c r="C114" i="8"/>
  <c r="F108" i="8"/>
  <c r="E108" i="8"/>
  <c r="D108" i="8"/>
  <c r="C108" i="8"/>
  <c r="F107" i="8"/>
  <c r="E107" i="8"/>
  <c r="D107" i="8"/>
  <c r="C107" i="8"/>
  <c r="F106" i="8"/>
  <c r="E106" i="8"/>
  <c r="D106" i="8"/>
  <c r="C106" i="8"/>
  <c r="F105" i="8"/>
  <c r="E105" i="8"/>
  <c r="D105" i="8"/>
  <c r="C105" i="8"/>
  <c r="F104" i="8"/>
  <c r="E104" i="8"/>
  <c r="D104" i="8"/>
  <c r="C104" i="8"/>
  <c r="F103" i="8"/>
  <c r="E103" i="8"/>
  <c r="D103" i="8"/>
  <c r="C103" i="8"/>
  <c r="F102" i="8"/>
  <c r="E102" i="8"/>
  <c r="D102" i="8"/>
  <c r="C102" i="8"/>
  <c r="F101" i="8"/>
  <c r="E101" i="8"/>
  <c r="D101" i="8"/>
  <c r="C101" i="8"/>
  <c r="F100" i="8"/>
  <c r="E100" i="8"/>
  <c r="D100" i="8"/>
  <c r="C100" i="8"/>
  <c r="F99" i="8"/>
  <c r="E99" i="8"/>
  <c r="D99" i="8"/>
  <c r="C99" i="8"/>
  <c r="F98" i="8"/>
  <c r="E98" i="8"/>
  <c r="D98" i="8"/>
  <c r="C98" i="8"/>
  <c r="F97" i="8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E83" i="8"/>
  <c r="C83" i="8"/>
  <c r="E82" i="8"/>
  <c r="C82" i="8"/>
  <c r="E81" i="8"/>
  <c r="C81" i="8"/>
  <c r="E75" i="8"/>
  <c r="C75" i="8"/>
  <c r="E74" i="8"/>
  <c r="C74" i="8"/>
  <c r="E73" i="8"/>
  <c r="C73" i="8"/>
  <c r="E72" i="8"/>
  <c r="C72" i="8"/>
  <c r="E71" i="8"/>
  <c r="C71" i="8"/>
  <c r="E70" i="8"/>
  <c r="C70" i="8"/>
  <c r="E69" i="8"/>
  <c r="C69" i="8"/>
  <c r="C68" i="8"/>
  <c r="E67" i="8"/>
  <c r="C67" i="8"/>
  <c r="E66" i="8"/>
  <c r="C66" i="8"/>
  <c r="E65" i="8"/>
  <c r="C65" i="8"/>
  <c r="E64" i="8"/>
  <c r="C64" i="8"/>
  <c r="E63" i="8"/>
  <c r="C63" i="8"/>
  <c r="E62" i="8"/>
  <c r="E61" i="8" s="1"/>
  <c r="C62" i="8"/>
  <c r="C61" i="8"/>
  <c r="E60" i="8"/>
  <c r="C60" i="8"/>
  <c r="E59" i="8"/>
  <c r="C59" i="8"/>
  <c r="E58" i="8"/>
  <c r="C58" i="8"/>
  <c r="E57" i="8"/>
  <c r="C57" i="8"/>
  <c r="E56" i="8"/>
  <c r="C56" i="8"/>
  <c r="C55" i="8"/>
  <c r="E49" i="8"/>
  <c r="D49" i="8"/>
  <c r="C49" i="8"/>
  <c r="E48" i="8"/>
  <c r="D48" i="8"/>
  <c r="C48" i="8"/>
  <c r="E47" i="8"/>
  <c r="D47" i="8"/>
  <c r="C47" i="8"/>
  <c r="E45" i="8"/>
  <c r="D45" i="8"/>
  <c r="C45" i="8"/>
  <c r="E44" i="8"/>
  <c r="D44" i="8"/>
  <c r="C44" i="8"/>
  <c r="E43" i="8"/>
  <c r="D43" i="8"/>
  <c r="C43" i="8"/>
  <c r="E42" i="8"/>
  <c r="D42" i="8"/>
  <c r="C42" i="8"/>
  <c r="E40" i="8"/>
  <c r="D40" i="8"/>
  <c r="C40" i="8"/>
  <c r="E39" i="8"/>
  <c r="D39" i="8"/>
  <c r="C39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C8" i="8"/>
  <c r="C6" i="8"/>
  <c r="A5" i="8"/>
  <c r="C4" i="8"/>
  <c r="A4" i="8"/>
  <c r="A3" i="8"/>
  <c r="A2" i="8"/>
  <c r="E310" i="2" l="1"/>
  <c r="E55" i="8"/>
  <c r="C84" i="8"/>
  <c r="E116" i="8"/>
  <c r="C139" i="8"/>
  <c r="E155" i="8"/>
  <c r="C168" i="8"/>
  <c r="E221" i="8"/>
  <c r="C221" i="8"/>
  <c r="C235" i="8"/>
  <c r="E315" i="2"/>
  <c r="E116" i="9"/>
  <c r="E155" i="9"/>
  <c r="C116" i="8"/>
  <c r="C155" i="8"/>
  <c r="E61" i="9"/>
  <c r="E55" i="9" s="1"/>
  <c r="C84" i="9"/>
  <c r="E284" i="9"/>
  <c r="E306" i="9"/>
  <c r="E235" i="9"/>
  <c r="E68" i="8"/>
  <c r="E294" i="8"/>
  <c r="C50" i="9"/>
  <c r="C76" i="9"/>
  <c r="E84" i="9"/>
  <c r="E139" i="9"/>
  <c r="E168" i="9"/>
  <c r="C235" i="9"/>
  <c r="C148" i="2"/>
  <c r="E109" i="8"/>
  <c r="F109" i="9"/>
  <c r="E50" i="8"/>
  <c r="E84" i="8"/>
  <c r="F109" i="8"/>
  <c r="E139" i="8"/>
  <c r="E168" i="8"/>
  <c r="E284" i="8"/>
  <c r="E306" i="8"/>
  <c r="C109" i="9"/>
  <c r="C116" i="9"/>
  <c r="E147" i="9"/>
  <c r="C147" i="9"/>
  <c r="C155" i="9"/>
  <c r="E207" i="9"/>
  <c r="C207" i="9"/>
  <c r="C284" i="9"/>
  <c r="C109" i="8"/>
  <c r="E147" i="8"/>
  <c r="C147" i="8"/>
  <c r="C148" i="8" s="1"/>
  <c r="E207" i="8"/>
  <c r="C207" i="8"/>
  <c r="C284" i="8"/>
  <c r="E50" i="9"/>
  <c r="E68" i="9"/>
  <c r="D109" i="9"/>
  <c r="C294" i="9"/>
  <c r="C50" i="8"/>
  <c r="C76" i="8"/>
  <c r="D109" i="8"/>
  <c r="E235" i="8"/>
  <c r="C294" i="8"/>
  <c r="E109" i="9"/>
  <c r="C139" i="9"/>
  <c r="C168" i="9"/>
  <c r="E221" i="9"/>
  <c r="C221" i="9"/>
  <c r="E294" i="9"/>
  <c r="E148" i="9"/>
  <c r="E348" i="7"/>
  <c r="E347" i="7"/>
  <c r="E339" i="7"/>
  <c r="E338" i="7"/>
  <c r="C333" i="7"/>
  <c r="C325" i="7"/>
  <c r="E305" i="7"/>
  <c r="D305" i="7"/>
  <c r="C305" i="7"/>
  <c r="E304" i="7"/>
  <c r="D304" i="7"/>
  <c r="C304" i="7"/>
  <c r="E303" i="7"/>
  <c r="D303" i="7"/>
  <c r="C303" i="7"/>
  <c r="E302" i="7"/>
  <c r="D302" i="7"/>
  <c r="C302" i="7"/>
  <c r="E301" i="7"/>
  <c r="D301" i="7"/>
  <c r="C301" i="7"/>
  <c r="E300" i="7"/>
  <c r="D300" i="7"/>
  <c r="C300" i="7"/>
  <c r="E299" i="7"/>
  <c r="D299" i="7"/>
  <c r="C299" i="7"/>
  <c r="E293" i="7"/>
  <c r="D293" i="7"/>
  <c r="C293" i="7"/>
  <c r="E292" i="7"/>
  <c r="D292" i="7"/>
  <c r="C292" i="7"/>
  <c r="E291" i="7"/>
  <c r="D291" i="7"/>
  <c r="C291" i="7"/>
  <c r="E290" i="7"/>
  <c r="D290" i="7"/>
  <c r="C290" i="7"/>
  <c r="E289" i="7"/>
  <c r="D289" i="7"/>
  <c r="C289" i="7"/>
  <c r="E283" i="7"/>
  <c r="D283" i="7"/>
  <c r="C283" i="7"/>
  <c r="E282" i="7"/>
  <c r="D282" i="7"/>
  <c r="C282" i="7"/>
  <c r="E281" i="7"/>
  <c r="D281" i="7"/>
  <c r="C281" i="7"/>
  <c r="E280" i="7"/>
  <c r="D280" i="7"/>
  <c r="C280" i="7"/>
  <c r="E279" i="7"/>
  <c r="D279" i="7"/>
  <c r="C279" i="7"/>
  <c r="E278" i="7"/>
  <c r="D278" i="7"/>
  <c r="C278" i="7"/>
  <c r="E276" i="7"/>
  <c r="D276" i="7"/>
  <c r="C276" i="7"/>
  <c r="E275" i="7"/>
  <c r="D275" i="7"/>
  <c r="C275" i="7"/>
  <c r="E274" i="7"/>
  <c r="D274" i="7"/>
  <c r="C274" i="7"/>
  <c r="E273" i="7"/>
  <c r="D273" i="7"/>
  <c r="C273" i="7"/>
  <c r="E272" i="7"/>
  <c r="D272" i="7"/>
  <c r="C272" i="7"/>
  <c r="E271" i="7"/>
  <c r="D271" i="7"/>
  <c r="C271" i="7"/>
  <c r="E270" i="7"/>
  <c r="D270" i="7"/>
  <c r="C270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7" i="7"/>
  <c r="D257" i="7"/>
  <c r="C257" i="7"/>
  <c r="E256" i="7"/>
  <c r="D256" i="7"/>
  <c r="C256" i="7"/>
  <c r="E255" i="7"/>
  <c r="D255" i="7"/>
  <c r="C255" i="7"/>
  <c r="E254" i="7"/>
  <c r="D254" i="7"/>
  <c r="C254" i="7"/>
  <c r="E253" i="7"/>
  <c r="D253" i="7"/>
  <c r="C253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8" i="7"/>
  <c r="D248" i="7"/>
  <c r="C248" i="7"/>
  <c r="E247" i="7"/>
  <c r="D247" i="7"/>
  <c r="C247" i="7"/>
  <c r="E246" i="7"/>
  <c r="D246" i="7"/>
  <c r="C246" i="7"/>
  <c r="E245" i="7"/>
  <c r="D245" i="7"/>
  <c r="C245" i="7"/>
  <c r="E244" i="7"/>
  <c r="D244" i="7"/>
  <c r="C244" i="7"/>
  <c r="E240" i="7"/>
  <c r="C240" i="7"/>
  <c r="E234" i="7"/>
  <c r="D234" i="7"/>
  <c r="C234" i="7"/>
  <c r="E233" i="7"/>
  <c r="D233" i="7"/>
  <c r="C233" i="7"/>
  <c r="C228" i="7"/>
  <c r="E220" i="7"/>
  <c r="D220" i="7"/>
  <c r="C220" i="7"/>
  <c r="E219" i="7"/>
  <c r="C219" i="7"/>
  <c r="E218" i="7"/>
  <c r="D218" i="7"/>
  <c r="C218" i="7"/>
  <c r="E217" i="7"/>
  <c r="D217" i="7"/>
  <c r="C217" i="7"/>
  <c r="E216" i="7"/>
  <c r="D216" i="7"/>
  <c r="C216" i="7"/>
  <c r="E215" i="7"/>
  <c r="D215" i="7"/>
  <c r="C215" i="7"/>
  <c r="E214" i="7"/>
  <c r="D214" i="7"/>
  <c r="C214" i="7"/>
  <c r="E213" i="7"/>
  <c r="D213" i="7"/>
  <c r="C213" i="7"/>
  <c r="E212" i="7"/>
  <c r="D212" i="7"/>
  <c r="C212" i="7"/>
  <c r="E206" i="7"/>
  <c r="D206" i="7"/>
  <c r="C206" i="7"/>
  <c r="E205" i="7"/>
  <c r="D205" i="7"/>
  <c r="C205" i="7"/>
  <c r="E204" i="7"/>
  <c r="D204" i="7"/>
  <c r="C204" i="7"/>
  <c r="E203" i="7"/>
  <c r="D203" i="7"/>
  <c r="C203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E198" i="7"/>
  <c r="D198" i="7"/>
  <c r="C198" i="7"/>
  <c r="E197" i="7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E182" i="7"/>
  <c r="D182" i="7"/>
  <c r="C182" i="7"/>
  <c r="E181" i="7"/>
  <c r="D181" i="7"/>
  <c r="C181" i="7"/>
  <c r="E180" i="7"/>
  <c r="D180" i="7"/>
  <c r="C180" i="7"/>
  <c r="E179" i="7"/>
  <c r="D179" i="7"/>
  <c r="C179" i="7"/>
  <c r="E178" i="7"/>
  <c r="D178" i="7"/>
  <c r="C178" i="7"/>
  <c r="E177" i="7"/>
  <c r="D177" i="7"/>
  <c r="C177" i="7"/>
  <c r="E176" i="7"/>
  <c r="D176" i="7"/>
  <c r="C176" i="7"/>
  <c r="E175" i="7"/>
  <c r="D175" i="7"/>
  <c r="C175" i="7"/>
  <c r="E174" i="7"/>
  <c r="D174" i="7"/>
  <c r="C174" i="7"/>
  <c r="E173" i="7"/>
  <c r="D173" i="7"/>
  <c r="C173" i="7"/>
  <c r="E167" i="7"/>
  <c r="D167" i="7"/>
  <c r="C167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61" i="7"/>
  <c r="D161" i="7"/>
  <c r="C161" i="7"/>
  <c r="E160" i="7"/>
  <c r="D160" i="7"/>
  <c r="C160" i="7"/>
  <c r="E154" i="7"/>
  <c r="D154" i="7"/>
  <c r="C154" i="7"/>
  <c r="E153" i="7"/>
  <c r="D153" i="7"/>
  <c r="C153" i="7"/>
  <c r="E146" i="7"/>
  <c r="D146" i="7"/>
  <c r="C146" i="7"/>
  <c r="E145" i="7"/>
  <c r="D145" i="7"/>
  <c r="C145" i="7"/>
  <c r="E144" i="7"/>
  <c r="D144" i="7"/>
  <c r="C144" i="7"/>
  <c r="E143" i="7"/>
  <c r="D143" i="7"/>
  <c r="C143" i="7"/>
  <c r="E142" i="7"/>
  <c r="D142" i="7"/>
  <c r="C142" i="7"/>
  <c r="E141" i="7"/>
  <c r="D141" i="7"/>
  <c r="C141" i="7"/>
  <c r="E138" i="7"/>
  <c r="D138" i="7"/>
  <c r="C138" i="7"/>
  <c r="E137" i="7"/>
  <c r="D137" i="7"/>
  <c r="C137" i="7"/>
  <c r="E136" i="7"/>
  <c r="D136" i="7"/>
  <c r="C136" i="7"/>
  <c r="E135" i="7"/>
  <c r="D135" i="7"/>
  <c r="C135" i="7"/>
  <c r="E134" i="7"/>
  <c r="D134" i="7"/>
  <c r="C134" i="7"/>
  <c r="E133" i="7"/>
  <c r="D133" i="7"/>
  <c r="C133" i="7"/>
  <c r="E132" i="7"/>
  <c r="D132" i="7"/>
  <c r="C132" i="7"/>
  <c r="E131" i="7"/>
  <c r="D131" i="7"/>
  <c r="C131" i="7"/>
  <c r="E130" i="7"/>
  <c r="D130" i="7"/>
  <c r="C130" i="7"/>
  <c r="E129" i="7"/>
  <c r="D129" i="7"/>
  <c r="C129" i="7"/>
  <c r="E128" i="7"/>
  <c r="D128" i="7"/>
  <c r="C128" i="7"/>
  <c r="E127" i="7"/>
  <c r="D127" i="7"/>
  <c r="C127" i="7"/>
  <c r="E126" i="7"/>
  <c r="D126" i="7"/>
  <c r="C126" i="7"/>
  <c r="C121" i="7"/>
  <c r="E115" i="7"/>
  <c r="D115" i="7"/>
  <c r="C115" i="7"/>
  <c r="E114" i="7"/>
  <c r="D114" i="7"/>
  <c r="C114" i="7"/>
  <c r="F108" i="7"/>
  <c r="E108" i="7"/>
  <c r="D108" i="7"/>
  <c r="C108" i="7"/>
  <c r="F107" i="7"/>
  <c r="E107" i="7"/>
  <c r="D107" i="7"/>
  <c r="C107" i="7"/>
  <c r="F106" i="7"/>
  <c r="E106" i="7"/>
  <c r="D106" i="7"/>
  <c r="C106" i="7"/>
  <c r="F105" i="7"/>
  <c r="E105" i="7"/>
  <c r="D105" i="7"/>
  <c r="C105" i="7"/>
  <c r="F104" i="7"/>
  <c r="E104" i="7"/>
  <c r="D104" i="7"/>
  <c r="C104" i="7"/>
  <c r="F103" i="7"/>
  <c r="E103" i="7"/>
  <c r="D103" i="7"/>
  <c r="C103" i="7"/>
  <c r="F102" i="7"/>
  <c r="E102" i="7"/>
  <c r="D102" i="7"/>
  <c r="C102" i="7"/>
  <c r="F101" i="7"/>
  <c r="E101" i="7"/>
  <c r="D101" i="7"/>
  <c r="C101" i="7"/>
  <c r="F100" i="7"/>
  <c r="E100" i="7"/>
  <c r="D100" i="7"/>
  <c r="C100" i="7"/>
  <c r="F99" i="7"/>
  <c r="E99" i="7"/>
  <c r="D99" i="7"/>
  <c r="C99" i="7"/>
  <c r="F98" i="7"/>
  <c r="E98" i="7"/>
  <c r="D98" i="7"/>
  <c r="C98" i="7"/>
  <c r="F97" i="7"/>
  <c r="E97" i="7"/>
  <c r="D97" i="7"/>
  <c r="C97" i="7"/>
  <c r="F96" i="7"/>
  <c r="E96" i="7"/>
  <c r="D96" i="7"/>
  <c r="C96" i="7"/>
  <c r="F95" i="7"/>
  <c r="E95" i="7"/>
  <c r="D95" i="7"/>
  <c r="C95" i="7"/>
  <c r="F94" i="7"/>
  <c r="E94" i="7"/>
  <c r="D94" i="7"/>
  <c r="C94" i="7"/>
  <c r="F93" i="7"/>
  <c r="E93" i="7"/>
  <c r="D93" i="7"/>
  <c r="C93" i="7"/>
  <c r="F92" i="7"/>
  <c r="E92" i="7"/>
  <c r="D92" i="7"/>
  <c r="C92" i="7"/>
  <c r="F91" i="7"/>
  <c r="E91" i="7"/>
  <c r="D91" i="7"/>
  <c r="C91" i="7"/>
  <c r="F90" i="7"/>
  <c r="E90" i="7"/>
  <c r="D90" i="7"/>
  <c r="C90" i="7"/>
  <c r="E83" i="7"/>
  <c r="C83" i="7"/>
  <c r="E82" i="7"/>
  <c r="C82" i="7"/>
  <c r="E81" i="7"/>
  <c r="C81" i="7"/>
  <c r="E75" i="7"/>
  <c r="C75" i="7"/>
  <c r="E74" i="7"/>
  <c r="C74" i="7"/>
  <c r="E73" i="7"/>
  <c r="C73" i="7"/>
  <c r="E72" i="7"/>
  <c r="C72" i="7"/>
  <c r="E71" i="7"/>
  <c r="C71" i="7"/>
  <c r="E70" i="7"/>
  <c r="C70" i="7"/>
  <c r="E69" i="7"/>
  <c r="C69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C61" i="7"/>
  <c r="E60" i="7"/>
  <c r="C60" i="7"/>
  <c r="E59" i="7"/>
  <c r="C59" i="7"/>
  <c r="E58" i="7"/>
  <c r="C58" i="7"/>
  <c r="E57" i="7"/>
  <c r="C57" i="7"/>
  <c r="E56" i="7"/>
  <c r="C56" i="7"/>
  <c r="C55" i="7"/>
  <c r="E49" i="7"/>
  <c r="D49" i="7"/>
  <c r="C49" i="7"/>
  <c r="E48" i="7"/>
  <c r="D48" i="7"/>
  <c r="C48" i="7"/>
  <c r="E47" i="7"/>
  <c r="D47" i="7"/>
  <c r="C47" i="7"/>
  <c r="E45" i="7"/>
  <c r="D45" i="7"/>
  <c r="C45" i="7"/>
  <c r="E44" i="7"/>
  <c r="D44" i="7"/>
  <c r="C44" i="7"/>
  <c r="E43" i="7"/>
  <c r="D43" i="7"/>
  <c r="C43" i="7"/>
  <c r="E42" i="7"/>
  <c r="D42" i="7"/>
  <c r="C42" i="7"/>
  <c r="E40" i="7"/>
  <c r="D40" i="7"/>
  <c r="C40" i="7"/>
  <c r="E39" i="7"/>
  <c r="D39" i="7"/>
  <c r="C39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C8" i="7"/>
  <c r="C6" i="7"/>
  <c r="A5" i="7"/>
  <c r="C4" i="7"/>
  <c r="A4" i="7"/>
  <c r="A3" i="7"/>
  <c r="A2" i="7"/>
  <c r="E348" i="12"/>
  <c r="E347" i="12"/>
  <c r="E339" i="12"/>
  <c r="E338" i="12"/>
  <c r="C325" i="12"/>
  <c r="C333" i="12" s="1"/>
  <c r="E305" i="12"/>
  <c r="D305" i="12"/>
  <c r="C305" i="12"/>
  <c r="E304" i="12"/>
  <c r="D304" i="12"/>
  <c r="C304" i="12"/>
  <c r="E303" i="12"/>
  <c r="D303" i="12"/>
  <c r="C303" i="12"/>
  <c r="E302" i="12"/>
  <c r="D302" i="12"/>
  <c r="C302" i="12"/>
  <c r="E301" i="12"/>
  <c r="D301" i="12"/>
  <c r="C301" i="12"/>
  <c r="E300" i="12"/>
  <c r="D300" i="12"/>
  <c r="C300" i="12"/>
  <c r="E299" i="12"/>
  <c r="D299" i="12"/>
  <c r="C299" i="12"/>
  <c r="E293" i="12"/>
  <c r="D293" i="12"/>
  <c r="C293" i="12"/>
  <c r="E292" i="12"/>
  <c r="D292" i="12"/>
  <c r="C292" i="12"/>
  <c r="E291" i="12"/>
  <c r="D291" i="12"/>
  <c r="C291" i="12"/>
  <c r="E290" i="12"/>
  <c r="D290" i="12"/>
  <c r="C290" i="12"/>
  <c r="E289" i="12"/>
  <c r="D289" i="12"/>
  <c r="C289" i="12"/>
  <c r="E283" i="12"/>
  <c r="D283" i="12"/>
  <c r="C283" i="12"/>
  <c r="E282" i="12"/>
  <c r="D282" i="12"/>
  <c r="C282" i="12"/>
  <c r="E281" i="12"/>
  <c r="D281" i="12"/>
  <c r="C281" i="12"/>
  <c r="E280" i="12"/>
  <c r="D280" i="12"/>
  <c r="C280" i="12"/>
  <c r="E279" i="12"/>
  <c r="D279" i="12"/>
  <c r="C279" i="12"/>
  <c r="E278" i="12"/>
  <c r="D278" i="12"/>
  <c r="C278" i="12"/>
  <c r="E276" i="12"/>
  <c r="D276" i="12"/>
  <c r="C276" i="12"/>
  <c r="E275" i="12"/>
  <c r="D275" i="12"/>
  <c r="C275" i="12"/>
  <c r="E274" i="12"/>
  <c r="D274" i="12"/>
  <c r="C274" i="12"/>
  <c r="E273" i="12"/>
  <c r="D273" i="12"/>
  <c r="C273" i="12"/>
  <c r="E272" i="12"/>
  <c r="D272" i="12"/>
  <c r="C272" i="12"/>
  <c r="E271" i="12"/>
  <c r="D271" i="12"/>
  <c r="C271" i="12"/>
  <c r="E270" i="12"/>
  <c r="D270" i="12"/>
  <c r="C270" i="12"/>
  <c r="E269" i="12"/>
  <c r="D269" i="12"/>
  <c r="C269" i="12"/>
  <c r="E268" i="12"/>
  <c r="D268" i="12"/>
  <c r="C268" i="12"/>
  <c r="E267" i="12"/>
  <c r="D267" i="12"/>
  <c r="C267" i="12"/>
  <c r="E266" i="12"/>
  <c r="D266" i="12"/>
  <c r="C266" i="12"/>
  <c r="E265" i="12"/>
  <c r="D265" i="12"/>
  <c r="C265" i="12"/>
  <c r="E264" i="12"/>
  <c r="D264" i="12"/>
  <c r="C264" i="12"/>
  <c r="E263" i="12"/>
  <c r="D263" i="12"/>
  <c r="C263" i="12"/>
  <c r="E262" i="12"/>
  <c r="D262" i="12"/>
  <c r="C262" i="12"/>
  <c r="E261" i="12"/>
  <c r="D261" i="12"/>
  <c r="C261" i="12"/>
  <c r="E260" i="12"/>
  <c r="D260" i="12"/>
  <c r="C260" i="12"/>
  <c r="E259" i="12"/>
  <c r="D259" i="12"/>
  <c r="C259" i="12"/>
  <c r="E257" i="12"/>
  <c r="D257" i="12"/>
  <c r="C257" i="12"/>
  <c r="E256" i="12"/>
  <c r="D256" i="12"/>
  <c r="C256" i="12"/>
  <c r="E255" i="12"/>
  <c r="D255" i="12"/>
  <c r="C255" i="12"/>
  <c r="E254" i="12"/>
  <c r="D254" i="12"/>
  <c r="C254" i="12"/>
  <c r="E253" i="12"/>
  <c r="D253" i="12"/>
  <c r="C253" i="12"/>
  <c r="E252" i="12"/>
  <c r="D252" i="12"/>
  <c r="C252" i="12"/>
  <c r="E251" i="12"/>
  <c r="D251" i="12"/>
  <c r="C251" i="12"/>
  <c r="E250" i="12"/>
  <c r="D250" i="12"/>
  <c r="C250" i="12"/>
  <c r="E249" i="12"/>
  <c r="D249" i="12"/>
  <c r="C249" i="12"/>
  <c r="E248" i="12"/>
  <c r="D248" i="12"/>
  <c r="C248" i="12"/>
  <c r="E247" i="12"/>
  <c r="D247" i="12"/>
  <c r="C247" i="12"/>
  <c r="E246" i="12"/>
  <c r="D246" i="12"/>
  <c r="C246" i="12"/>
  <c r="E245" i="12"/>
  <c r="D245" i="12"/>
  <c r="C245" i="12"/>
  <c r="E244" i="12"/>
  <c r="D244" i="12"/>
  <c r="C244" i="12"/>
  <c r="E240" i="12"/>
  <c r="C240" i="12"/>
  <c r="E234" i="12"/>
  <c r="D234" i="12"/>
  <c r="C234" i="12"/>
  <c r="E233" i="12"/>
  <c r="D233" i="12"/>
  <c r="C233" i="12"/>
  <c r="C228" i="12"/>
  <c r="E220" i="12"/>
  <c r="D220" i="12"/>
  <c r="C220" i="12"/>
  <c r="E219" i="12"/>
  <c r="C219" i="12"/>
  <c r="E218" i="12"/>
  <c r="D218" i="12"/>
  <c r="C218" i="12"/>
  <c r="E217" i="12"/>
  <c r="D217" i="12"/>
  <c r="C217" i="12"/>
  <c r="E216" i="12"/>
  <c r="D216" i="12"/>
  <c r="C216" i="12"/>
  <c r="E215" i="12"/>
  <c r="D215" i="12"/>
  <c r="C215" i="12"/>
  <c r="E214" i="12"/>
  <c r="D214" i="12"/>
  <c r="C214" i="12"/>
  <c r="E213" i="12"/>
  <c r="D213" i="12"/>
  <c r="C213" i="12"/>
  <c r="E212" i="12"/>
  <c r="D212" i="12"/>
  <c r="C212" i="12"/>
  <c r="E206" i="12"/>
  <c r="D206" i="12"/>
  <c r="C206" i="12"/>
  <c r="E205" i="12"/>
  <c r="D205" i="12"/>
  <c r="C205" i="12"/>
  <c r="E204" i="12"/>
  <c r="D204" i="12"/>
  <c r="C204" i="12"/>
  <c r="E203" i="12"/>
  <c r="D203" i="12"/>
  <c r="C203" i="12"/>
  <c r="E202" i="12"/>
  <c r="D202" i="12"/>
  <c r="C202" i="12"/>
  <c r="E201" i="12"/>
  <c r="D201" i="12"/>
  <c r="C201" i="12"/>
  <c r="E200" i="12"/>
  <c r="D200" i="12"/>
  <c r="C200" i="12"/>
  <c r="E199" i="12"/>
  <c r="D199" i="12"/>
  <c r="C199" i="12"/>
  <c r="E198" i="12"/>
  <c r="D198" i="12"/>
  <c r="C198" i="12"/>
  <c r="E197" i="12"/>
  <c r="D197" i="12"/>
  <c r="C197" i="12"/>
  <c r="E196" i="12"/>
  <c r="D196" i="12"/>
  <c r="C196" i="12"/>
  <c r="E195" i="12"/>
  <c r="D195" i="12"/>
  <c r="C195" i="12"/>
  <c r="E194" i="12"/>
  <c r="D194" i="12"/>
  <c r="C194" i="12"/>
  <c r="E193" i="12"/>
  <c r="D193" i="12"/>
  <c r="C193" i="12"/>
  <c r="E192" i="12"/>
  <c r="D192" i="12"/>
  <c r="C192" i="12"/>
  <c r="E191" i="12"/>
  <c r="D191" i="12"/>
  <c r="C191" i="12"/>
  <c r="E190" i="12"/>
  <c r="D190" i="12"/>
  <c r="C190" i="12"/>
  <c r="E189" i="12"/>
  <c r="D189" i="12"/>
  <c r="C189" i="12"/>
  <c r="E188" i="12"/>
  <c r="D188" i="12"/>
  <c r="C188" i="12"/>
  <c r="E187" i="12"/>
  <c r="D187" i="12"/>
  <c r="C187" i="12"/>
  <c r="E186" i="12"/>
  <c r="D186" i="12"/>
  <c r="C186" i="12"/>
  <c r="E185" i="12"/>
  <c r="D185" i="12"/>
  <c r="C185" i="12"/>
  <c r="E184" i="12"/>
  <c r="D184" i="12"/>
  <c r="C184" i="12"/>
  <c r="E183" i="12"/>
  <c r="D183" i="12"/>
  <c r="C183" i="12"/>
  <c r="E182" i="12"/>
  <c r="D182" i="12"/>
  <c r="C182" i="12"/>
  <c r="E181" i="12"/>
  <c r="D181" i="12"/>
  <c r="C181" i="12"/>
  <c r="E180" i="12"/>
  <c r="D180" i="12"/>
  <c r="C180" i="12"/>
  <c r="E179" i="12"/>
  <c r="D179" i="12"/>
  <c r="C179" i="12"/>
  <c r="E178" i="12"/>
  <c r="D178" i="12"/>
  <c r="C178" i="12"/>
  <c r="E177" i="12"/>
  <c r="D177" i="12"/>
  <c r="C177" i="12"/>
  <c r="E176" i="12"/>
  <c r="D176" i="12"/>
  <c r="C176" i="12"/>
  <c r="E175" i="12"/>
  <c r="D175" i="12"/>
  <c r="C175" i="12"/>
  <c r="E174" i="12"/>
  <c r="D174" i="12"/>
  <c r="C174" i="12"/>
  <c r="E173" i="12"/>
  <c r="D173" i="12"/>
  <c r="C173" i="12"/>
  <c r="E167" i="12"/>
  <c r="D167" i="12"/>
  <c r="C167" i="12"/>
  <c r="E166" i="12"/>
  <c r="D166" i="12"/>
  <c r="C166" i="12"/>
  <c r="E165" i="12"/>
  <c r="D165" i="12"/>
  <c r="C165" i="12"/>
  <c r="E164" i="12"/>
  <c r="D164" i="12"/>
  <c r="C164" i="12"/>
  <c r="E163" i="12"/>
  <c r="D163" i="12"/>
  <c r="C163" i="12"/>
  <c r="E162" i="12"/>
  <c r="D162" i="12"/>
  <c r="C162" i="12"/>
  <c r="E161" i="12"/>
  <c r="D161" i="12"/>
  <c r="C161" i="12"/>
  <c r="E160" i="12"/>
  <c r="D160" i="12"/>
  <c r="C160" i="12"/>
  <c r="E154" i="12"/>
  <c r="D154" i="12"/>
  <c r="C154" i="12"/>
  <c r="E153" i="12"/>
  <c r="D153" i="12"/>
  <c r="C153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1" i="12"/>
  <c r="D141" i="12"/>
  <c r="C141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9" i="12"/>
  <c r="D129" i="12"/>
  <c r="C129" i="12"/>
  <c r="E128" i="12"/>
  <c r="D128" i="12"/>
  <c r="C128" i="12"/>
  <c r="E127" i="12"/>
  <c r="D127" i="12"/>
  <c r="C127" i="12"/>
  <c r="E126" i="12"/>
  <c r="D126" i="12"/>
  <c r="C126" i="12"/>
  <c r="C121" i="12"/>
  <c r="E115" i="12"/>
  <c r="D115" i="12"/>
  <c r="C115" i="12"/>
  <c r="E114" i="12"/>
  <c r="D114" i="12"/>
  <c r="C114" i="12"/>
  <c r="F108" i="12"/>
  <c r="E108" i="12"/>
  <c r="D108" i="12"/>
  <c r="C108" i="12"/>
  <c r="F107" i="12"/>
  <c r="E107" i="12"/>
  <c r="D107" i="12"/>
  <c r="C107" i="12"/>
  <c r="F106" i="12"/>
  <c r="E106" i="12"/>
  <c r="D106" i="12"/>
  <c r="C106" i="12"/>
  <c r="F105" i="12"/>
  <c r="E105" i="12"/>
  <c r="D105" i="12"/>
  <c r="C105" i="12"/>
  <c r="F104" i="12"/>
  <c r="E104" i="12"/>
  <c r="D104" i="12"/>
  <c r="C104" i="12"/>
  <c r="F103" i="12"/>
  <c r="E103" i="12"/>
  <c r="D103" i="12"/>
  <c r="C103" i="12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9" i="12"/>
  <c r="E99" i="12"/>
  <c r="D99" i="12"/>
  <c r="C99" i="12"/>
  <c r="F98" i="12"/>
  <c r="E98" i="12"/>
  <c r="D98" i="12"/>
  <c r="C98" i="12"/>
  <c r="F97" i="12"/>
  <c r="E97" i="12"/>
  <c r="D97" i="12"/>
  <c r="C97" i="12"/>
  <c r="F96" i="12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E83" i="12"/>
  <c r="C83" i="12"/>
  <c r="E82" i="12"/>
  <c r="C82" i="12"/>
  <c r="E81" i="12"/>
  <c r="C81" i="12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C68" i="12"/>
  <c r="E67" i="12"/>
  <c r="C67" i="12"/>
  <c r="E66" i="12"/>
  <c r="C66" i="12"/>
  <c r="E65" i="12"/>
  <c r="C65" i="12"/>
  <c r="E64" i="12"/>
  <c r="C64" i="12"/>
  <c r="E63" i="12"/>
  <c r="C63" i="12"/>
  <c r="E62" i="12"/>
  <c r="C62" i="12"/>
  <c r="C61" i="12"/>
  <c r="E60" i="12"/>
  <c r="C60" i="12"/>
  <c r="E59" i="12"/>
  <c r="C59" i="12"/>
  <c r="E58" i="12"/>
  <c r="C58" i="12"/>
  <c r="E57" i="12"/>
  <c r="C57" i="12"/>
  <c r="E56" i="12"/>
  <c r="C56" i="12"/>
  <c r="C55" i="12"/>
  <c r="E49" i="12"/>
  <c r="D49" i="12"/>
  <c r="C49" i="12"/>
  <c r="E48" i="12"/>
  <c r="D48" i="12"/>
  <c r="C48" i="12"/>
  <c r="E47" i="12"/>
  <c r="D47" i="12"/>
  <c r="C47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0" i="12"/>
  <c r="D40" i="12"/>
  <c r="C40" i="12"/>
  <c r="E39" i="12"/>
  <c r="D39" i="12"/>
  <c r="C39" i="12"/>
  <c r="E37" i="12"/>
  <c r="D37" i="12"/>
  <c r="C37" i="12"/>
  <c r="E36" i="12"/>
  <c r="D36" i="12"/>
  <c r="C36" i="12"/>
  <c r="E35" i="12"/>
  <c r="D35" i="12"/>
  <c r="C35" i="12"/>
  <c r="E34" i="12"/>
  <c r="D34" i="12"/>
  <c r="C34" i="12"/>
  <c r="E33" i="12"/>
  <c r="D33" i="12"/>
  <c r="C33" i="12"/>
  <c r="E32" i="12"/>
  <c r="D32" i="12"/>
  <c r="C32" i="12"/>
  <c r="E31" i="12"/>
  <c r="D31" i="12"/>
  <c r="C31" i="12"/>
  <c r="E30" i="12"/>
  <c r="D30" i="12"/>
  <c r="C30" i="12"/>
  <c r="E29" i="12"/>
  <c r="D29" i="12"/>
  <c r="C29" i="12"/>
  <c r="E28" i="12"/>
  <c r="D28" i="12"/>
  <c r="C28" i="12"/>
  <c r="E26" i="12"/>
  <c r="D26" i="12"/>
  <c r="C26" i="12"/>
  <c r="E25" i="12"/>
  <c r="D25" i="12"/>
  <c r="C25" i="12"/>
  <c r="E24" i="12"/>
  <c r="D24" i="12"/>
  <c r="C24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4" i="12"/>
  <c r="D14" i="12"/>
  <c r="C14" i="12"/>
  <c r="C8" i="12"/>
  <c r="C6" i="12"/>
  <c r="A5" i="12"/>
  <c r="C4" i="12"/>
  <c r="A4" i="12"/>
  <c r="A3" i="12"/>
  <c r="A2" i="12"/>
  <c r="C148" i="9" l="1"/>
  <c r="E76" i="8"/>
  <c r="E76" i="9"/>
  <c r="E315" i="9" s="1"/>
  <c r="E84" i="7"/>
  <c r="E310" i="9"/>
  <c r="C235" i="12"/>
  <c r="E310" i="8"/>
  <c r="E148" i="8"/>
  <c r="E315" i="8" s="1"/>
  <c r="E68" i="12"/>
  <c r="E284" i="7"/>
  <c r="E306" i="7"/>
  <c r="C116" i="12"/>
  <c r="C155" i="12"/>
  <c r="C235" i="7"/>
  <c r="E61" i="7"/>
  <c r="E55" i="7" s="1"/>
  <c r="E139" i="7"/>
  <c r="E168" i="7"/>
  <c r="E61" i="12"/>
  <c r="E55" i="12" s="1"/>
  <c r="E147" i="12"/>
  <c r="C147" i="12"/>
  <c r="E207" i="12"/>
  <c r="C207" i="12"/>
  <c r="C284" i="12"/>
  <c r="E50" i="7"/>
  <c r="C109" i="12"/>
  <c r="F109" i="7"/>
  <c r="C50" i="12"/>
  <c r="C76" i="12"/>
  <c r="D109" i="12"/>
  <c r="E235" i="12"/>
  <c r="C294" i="12"/>
  <c r="C109" i="7"/>
  <c r="C116" i="7"/>
  <c r="E147" i="7"/>
  <c r="C147" i="7"/>
  <c r="C155" i="7"/>
  <c r="E207" i="7"/>
  <c r="C207" i="7"/>
  <c r="C284" i="7"/>
  <c r="C84" i="12"/>
  <c r="E109" i="12"/>
  <c r="E116" i="12"/>
  <c r="C139" i="12"/>
  <c r="E155" i="12"/>
  <c r="C168" i="12"/>
  <c r="E221" i="12"/>
  <c r="C221" i="12"/>
  <c r="E294" i="12"/>
  <c r="C50" i="7"/>
  <c r="C76" i="7"/>
  <c r="E68" i="7"/>
  <c r="D109" i="7"/>
  <c r="E235" i="7"/>
  <c r="C294" i="7"/>
  <c r="E50" i="12"/>
  <c r="E84" i="12"/>
  <c r="F109" i="12"/>
  <c r="E139" i="12"/>
  <c r="E168" i="12"/>
  <c r="E284" i="12"/>
  <c r="E306" i="12"/>
  <c r="C84" i="7"/>
  <c r="E109" i="7"/>
  <c r="E116" i="7"/>
  <c r="C139" i="7"/>
  <c r="E155" i="7"/>
  <c r="C168" i="7"/>
  <c r="E221" i="7"/>
  <c r="C221" i="7"/>
  <c r="E294" i="7"/>
  <c r="E76" i="12" l="1"/>
  <c r="C148" i="12"/>
  <c r="E76" i="7"/>
  <c r="E148" i="12"/>
  <c r="E310" i="12"/>
  <c r="E148" i="7"/>
  <c r="C148" i="7"/>
  <c r="E310" i="7"/>
  <c r="E348" i="13"/>
  <c r="E347" i="13"/>
  <c r="E339" i="13"/>
  <c r="E338" i="13"/>
  <c r="C325" i="13"/>
  <c r="C333" i="13" s="1"/>
  <c r="E305" i="13"/>
  <c r="D305" i="13"/>
  <c r="C305" i="13"/>
  <c r="E304" i="13"/>
  <c r="D304" i="13"/>
  <c r="C304" i="13"/>
  <c r="E303" i="13"/>
  <c r="D303" i="13"/>
  <c r="C303" i="13"/>
  <c r="E302" i="13"/>
  <c r="D302" i="13"/>
  <c r="C302" i="13"/>
  <c r="E301" i="13"/>
  <c r="D301" i="13"/>
  <c r="C301" i="13"/>
  <c r="E300" i="13"/>
  <c r="D300" i="13"/>
  <c r="C300" i="13"/>
  <c r="E299" i="13"/>
  <c r="D299" i="13"/>
  <c r="C299" i="13"/>
  <c r="E293" i="13"/>
  <c r="D293" i="13"/>
  <c r="C293" i="13"/>
  <c r="E292" i="13"/>
  <c r="D292" i="13"/>
  <c r="C292" i="13"/>
  <c r="E291" i="13"/>
  <c r="D291" i="13"/>
  <c r="C291" i="13"/>
  <c r="E290" i="13"/>
  <c r="D290" i="13"/>
  <c r="C290" i="13"/>
  <c r="E289" i="13"/>
  <c r="D289" i="13"/>
  <c r="C289" i="13"/>
  <c r="E283" i="13"/>
  <c r="D283" i="13"/>
  <c r="C283" i="13"/>
  <c r="E282" i="13"/>
  <c r="D282" i="13"/>
  <c r="C282" i="13"/>
  <c r="E281" i="13"/>
  <c r="D281" i="13"/>
  <c r="C281" i="13"/>
  <c r="E280" i="13"/>
  <c r="D280" i="13"/>
  <c r="C280" i="13"/>
  <c r="E279" i="13"/>
  <c r="D279" i="13"/>
  <c r="C279" i="13"/>
  <c r="E278" i="13"/>
  <c r="D278" i="13"/>
  <c r="C278" i="13"/>
  <c r="E276" i="13"/>
  <c r="D276" i="13"/>
  <c r="C276" i="13"/>
  <c r="E275" i="13"/>
  <c r="D275" i="13"/>
  <c r="C275" i="13"/>
  <c r="E274" i="13"/>
  <c r="D274" i="13"/>
  <c r="C274" i="13"/>
  <c r="E273" i="13"/>
  <c r="D273" i="13"/>
  <c r="C273" i="13"/>
  <c r="E272" i="13"/>
  <c r="D272" i="13"/>
  <c r="C272" i="13"/>
  <c r="E271" i="13"/>
  <c r="D271" i="13"/>
  <c r="C271" i="13"/>
  <c r="E270" i="13"/>
  <c r="D270" i="13"/>
  <c r="C270" i="13"/>
  <c r="E269" i="13"/>
  <c r="D269" i="13"/>
  <c r="C269" i="13"/>
  <c r="E268" i="13"/>
  <c r="D268" i="13"/>
  <c r="C268" i="13"/>
  <c r="E267" i="13"/>
  <c r="D267" i="13"/>
  <c r="C267" i="13"/>
  <c r="E266" i="13"/>
  <c r="D266" i="13"/>
  <c r="C266" i="13"/>
  <c r="E265" i="13"/>
  <c r="D265" i="13"/>
  <c r="C265" i="13"/>
  <c r="E264" i="13"/>
  <c r="D264" i="13"/>
  <c r="C264" i="13"/>
  <c r="E263" i="13"/>
  <c r="D263" i="13"/>
  <c r="C263" i="13"/>
  <c r="E262" i="13"/>
  <c r="D262" i="13"/>
  <c r="C262" i="13"/>
  <c r="E261" i="13"/>
  <c r="D261" i="13"/>
  <c r="C261" i="13"/>
  <c r="E260" i="13"/>
  <c r="D260" i="13"/>
  <c r="C260" i="13"/>
  <c r="E259" i="13"/>
  <c r="D259" i="13"/>
  <c r="C259" i="13"/>
  <c r="E257" i="13"/>
  <c r="D257" i="13"/>
  <c r="C257" i="13"/>
  <c r="E256" i="13"/>
  <c r="D256" i="13"/>
  <c r="C256" i="13"/>
  <c r="E255" i="13"/>
  <c r="D255" i="13"/>
  <c r="C255" i="13"/>
  <c r="E254" i="13"/>
  <c r="D254" i="13"/>
  <c r="C254" i="13"/>
  <c r="E253" i="13"/>
  <c r="D253" i="13"/>
  <c r="C253" i="13"/>
  <c r="E252" i="13"/>
  <c r="D252" i="13"/>
  <c r="C252" i="13"/>
  <c r="E251" i="13"/>
  <c r="D251" i="13"/>
  <c r="C251" i="13"/>
  <c r="E250" i="13"/>
  <c r="D250" i="13"/>
  <c r="C250" i="13"/>
  <c r="E249" i="13"/>
  <c r="D249" i="13"/>
  <c r="C249" i="13"/>
  <c r="E248" i="13"/>
  <c r="D248" i="13"/>
  <c r="C248" i="13"/>
  <c r="E247" i="13"/>
  <c r="D247" i="13"/>
  <c r="C247" i="13"/>
  <c r="E246" i="13"/>
  <c r="D246" i="13"/>
  <c r="C246" i="13"/>
  <c r="E245" i="13"/>
  <c r="D245" i="13"/>
  <c r="C245" i="13"/>
  <c r="E244" i="13"/>
  <c r="D244" i="13"/>
  <c r="C244" i="13"/>
  <c r="E240" i="13"/>
  <c r="C240" i="13"/>
  <c r="E234" i="13"/>
  <c r="D234" i="13"/>
  <c r="C234" i="13"/>
  <c r="E233" i="13"/>
  <c r="D233" i="13"/>
  <c r="C233" i="13"/>
  <c r="C228" i="13"/>
  <c r="E220" i="13"/>
  <c r="D220" i="13"/>
  <c r="C220" i="13"/>
  <c r="E219" i="13"/>
  <c r="C219" i="13"/>
  <c r="E218" i="13"/>
  <c r="D218" i="13"/>
  <c r="C218" i="13"/>
  <c r="E217" i="13"/>
  <c r="D217" i="13"/>
  <c r="C217" i="13"/>
  <c r="E216" i="13"/>
  <c r="D216" i="13"/>
  <c r="C216" i="13"/>
  <c r="E215" i="13"/>
  <c r="D215" i="13"/>
  <c r="C215" i="13"/>
  <c r="E214" i="13"/>
  <c r="D214" i="13"/>
  <c r="C214" i="13"/>
  <c r="E213" i="13"/>
  <c r="D213" i="13"/>
  <c r="C213" i="13"/>
  <c r="E212" i="13"/>
  <c r="D212" i="13"/>
  <c r="C212" i="13"/>
  <c r="E206" i="13"/>
  <c r="D206" i="13"/>
  <c r="C206" i="13"/>
  <c r="E205" i="13"/>
  <c r="D205" i="13"/>
  <c r="C205" i="13"/>
  <c r="E204" i="13"/>
  <c r="D204" i="13"/>
  <c r="C204" i="13"/>
  <c r="E203" i="13"/>
  <c r="D203" i="13"/>
  <c r="C203" i="13"/>
  <c r="E202" i="13"/>
  <c r="D202" i="13"/>
  <c r="C202" i="13"/>
  <c r="E201" i="13"/>
  <c r="D201" i="13"/>
  <c r="C201" i="13"/>
  <c r="E200" i="13"/>
  <c r="D200" i="13"/>
  <c r="C200" i="13"/>
  <c r="E199" i="13"/>
  <c r="D199" i="13"/>
  <c r="C199" i="13"/>
  <c r="E198" i="13"/>
  <c r="D198" i="13"/>
  <c r="C198" i="13"/>
  <c r="E197" i="13"/>
  <c r="D197" i="13"/>
  <c r="C197" i="13"/>
  <c r="E196" i="13"/>
  <c r="D196" i="13"/>
  <c r="C196" i="13"/>
  <c r="E195" i="13"/>
  <c r="D195" i="13"/>
  <c r="C195" i="13"/>
  <c r="E194" i="13"/>
  <c r="D194" i="13"/>
  <c r="C194" i="13"/>
  <c r="E193" i="13"/>
  <c r="D193" i="13"/>
  <c r="C193" i="13"/>
  <c r="E192" i="13"/>
  <c r="D192" i="13"/>
  <c r="C192" i="13"/>
  <c r="E191" i="13"/>
  <c r="D191" i="13"/>
  <c r="C191" i="13"/>
  <c r="E190" i="13"/>
  <c r="D190" i="13"/>
  <c r="C190" i="13"/>
  <c r="E189" i="13"/>
  <c r="D189" i="13"/>
  <c r="C189" i="13"/>
  <c r="E188" i="13"/>
  <c r="D188" i="13"/>
  <c r="C188" i="13"/>
  <c r="E187" i="13"/>
  <c r="D187" i="13"/>
  <c r="C187" i="13"/>
  <c r="E186" i="13"/>
  <c r="D186" i="13"/>
  <c r="C186" i="13"/>
  <c r="E185" i="13"/>
  <c r="D185" i="13"/>
  <c r="C185" i="13"/>
  <c r="E184" i="13"/>
  <c r="D184" i="13"/>
  <c r="C184" i="13"/>
  <c r="E183" i="13"/>
  <c r="D183" i="13"/>
  <c r="C183" i="13"/>
  <c r="E182" i="13"/>
  <c r="D182" i="13"/>
  <c r="C182" i="13"/>
  <c r="E181" i="13"/>
  <c r="D181" i="13"/>
  <c r="C181" i="13"/>
  <c r="E180" i="13"/>
  <c r="D180" i="13"/>
  <c r="C180" i="13"/>
  <c r="E179" i="13"/>
  <c r="D179" i="13"/>
  <c r="C179" i="13"/>
  <c r="E178" i="13"/>
  <c r="D178" i="13"/>
  <c r="C178" i="13"/>
  <c r="E177" i="13"/>
  <c r="D177" i="13"/>
  <c r="C177" i="13"/>
  <c r="E176" i="13"/>
  <c r="D176" i="13"/>
  <c r="C176" i="13"/>
  <c r="E175" i="13"/>
  <c r="D175" i="13"/>
  <c r="C175" i="13"/>
  <c r="E174" i="13"/>
  <c r="D174" i="13"/>
  <c r="C174" i="13"/>
  <c r="E173" i="13"/>
  <c r="D173" i="13"/>
  <c r="C173" i="13"/>
  <c r="E167" i="13"/>
  <c r="D167" i="13"/>
  <c r="C167" i="13"/>
  <c r="E166" i="13"/>
  <c r="D166" i="13"/>
  <c r="C166" i="13"/>
  <c r="E165" i="13"/>
  <c r="D165" i="13"/>
  <c r="C165" i="13"/>
  <c r="E164" i="13"/>
  <c r="D164" i="13"/>
  <c r="C164" i="13"/>
  <c r="E163" i="13"/>
  <c r="D163" i="13"/>
  <c r="C163" i="13"/>
  <c r="E162" i="13"/>
  <c r="D162" i="13"/>
  <c r="C162" i="13"/>
  <c r="E161" i="13"/>
  <c r="D161" i="13"/>
  <c r="C161" i="13"/>
  <c r="E160" i="13"/>
  <c r="D160" i="13"/>
  <c r="C160" i="13"/>
  <c r="E154" i="13"/>
  <c r="D154" i="13"/>
  <c r="C154" i="13"/>
  <c r="E153" i="13"/>
  <c r="D153" i="13"/>
  <c r="C153" i="13"/>
  <c r="E146" i="13"/>
  <c r="D146" i="13"/>
  <c r="C146" i="13"/>
  <c r="E145" i="13"/>
  <c r="D145" i="13"/>
  <c r="C145" i="13"/>
  <c r="E144" i="13"/>
  <c r="D144" i="13"/>
  <c r="C144" i="13"/>
  <c r="E143" i="13"/>
  <c r="D143" i="13"/>
  <c r="C143" i="13"/>
  <c r="E142" i="13"/>
  <c r="D142" i="13"/>
  <c r="C142" i="13"/>
  <c r="E141" i="13"/>
  <c r="D141" i="13"/>
  <c r="C141" i="13"/>
  <c r="E138" i="13"/>
  <c r="D138" i="13"/>
  <c r="C138" i="13"/>
  <c r="E137" i="13"/>
  <c r="D137" i="13"/>
  <c r="C137" i="13"/>
  <c r="E136" i="13"/>
  <c r="D136" i="13"/>
  <c r="C136" i="13"/>
  <c r="E135" i="13"/>
  <c r="D135" i="13"/>
  <c r="C135" i="13"/>
  <c r="E134" i="13"/>
  <c r="D134" i="13"/>
  <c r="C134" i="13"/>
  <c r="E133" i="13"/>
  <c r="D133" i="13"/>
  <c r="C133" i="13"/>
  <c r="E132" i="13"/>
  <c r="D132" i="13"/>
  <c r="C132" i="13"/>
  <c r="E131" i="13"/>
  <c r="D131" i="13"/>
  <c r="C131" i="13"/>
  <c r="E130" i="13"/>
  <c r="D130" i="13"/>
  <c r="C130" i="13"/>
  <c r="E129" i="13"/>
  <c r="D129" i="13"/>
  <c r="C129" i="13"/>
  <c r="E128" i="13"/>
  <c r="D128" i="13"/>
  <c r="C128" i="13"/>
  <c r="E127" i="13"/>
  <c r="D127" i="13"/>
  <c r="C127" i="13"/>
  <c r="E126" i="13"/>
  <c r="D126" i="13"/>
  <c r="C126" i="13"/>
  <c r="C121" i="13"/>
  <c r="E115" i="13"/>
  <c r="D115" i="13"/>
  <c r="C115" i="13"/>
  <c r="E114" i="13"/>
  <c r="D114" i="13"/>
  <c r="C114" i="13"/>
  <c r="F108" i="13"/>
  <c r="E108" i="13"/>
  <c r="D108" i="13"/>
  <c r="C108" i="13"/>
  <c r="F107" i="13"/>
  <c r="E107" i="13"/>
  <c r="D107" i="13"/>
  <c r="C107" i="13"/>
  <c r="F106" i="13"/>
  <c r="E106" i="13"/>
  <c r="D106" i="13"/>
  <c r="C106" i="13"/>
  <c r="F105" i="13"/>
  <c r="E105" i="13"/>
  <c r="D105" i="13"/>
  <c r="C105" i="13"/>
  <c r="F104" i="13"/>
  <c r="E104" i="13"/>
  <c r="D104" i="13"/>
  <c r="C104" i="13"/>
  <c r="F103" i="13"/>
  <c r="E103" i="13"/>
  <c r="D103" i="13"/>
  <c r="C103" i="13"/>
  <c r="F102" i="13"/>
  <c r="E102" i="13"/>
  <c r="D102" i="13"/>
  <c r="C102" i="13"/>
  <c r="F101" i="13"/>
  <c r="E101" i="13"/>
  <c r="D101" i="13"/>
  <c r="C101" i="13"/>
  <c r="F100" i="13"/>
  <c r="E100" i="13"/>
  <c r="D100" i="13"/>
  <c r="C100" i="13"/>
  <c r="F99" i="13"/>
  <c r="E99" i="13"/>
  <c r="D99" i="13"/>
  <c r="C99" i="13"/>
  <c r="F98" i="13"/>
  <c r="E98" i="13"/>
  <c r="D98" i="13"/>
  <c r="C98" i="13"/>
  <c r="F97" i="13"/>
  <c r="E97" i="13"/>
  <c r="D97" i="13"/>
  <c r="C97" i="13"/>
  <c r="F96" i="13"/>
  <c r="E96" i="13"/>
  <c r="D96" i="13"/>
  <c r="C96" i="13"/>
  <c r="F95" i="13"/>
  <c r="E95" i="13"/>
  <c r="D95" i="13"/>
  <c r="C95" i="13"/>
  <c r="F94" i="13"/>
  <c r="E94" i="13"/>
  <c r="D94" i="13"/>
  <c r="C94" i="13"/>
  <c r="F93" i="13"/>
  <c r="E93" i="13"/>
  <c r="D93" i="13"/>
  <c r="C93" i="13"/>
  <c r="F92" i="13"/>
  <c r="E92" i="13"/>
  <c r="D92" i="13"/>
  <c r="C92" i="13"/>
  <c r="F91" i="13"/>
  <c r="E91" i="13"/>
  <c r="D91" i="13"/>
  <c r="C91" i="13"/>
  <c r="F90" i="13"/>
  <c r="E90" i="13"/>
  <c r="D90" i="13"/>
  <c r="C90" i="13"/>
  <c r="E83" i="13"/>
  <c r="C83" i="13"/>
  <c r="E82" i="13"/>
  <c r="C82" i="13"/>
  <c r="E81" i="13"/>
  <c r="C81" i="13"/>
  <c r="E75" i="13"/>
  <c r="C75" i="13"/>
  <c r="E74" i="13"/>
  <c r="C74" i="13"/>
  <c r="E73" i="13"/>
  <c r="C73" i="13"/>
  <c r="E72" i="13"/>
  <c r="C72" i="13"/>
  <c r="E71" i="13"/>
  <c r="C71" i="13"/>
  <c r="E70" i="13"/>
  <c r="C70" i="13"/>
  <c r="E69" i="13"/>
  <c r="C69" i="13"/>
  <c r="C68" i="13"/>
  <c r="E67" i="13"/>
  <c r="C67" i="13"/>
  <c r="E66" i="13"/>
  <c r="C66" i="13"/>
  <c r="E65" i="13"/>
  <c r="C65" i="13"/>
  <c r="E64" i="13"/>
  <c r="C64" i="13"/>
  <c r="E63" i="13"/>
  <c r="C63" i="13"/>
  <c r="E62" i="13"/>
  <c r="C62" i="13"/>
  <c r="C61" i="13"/>
  <c r="E60" i="13"/>
  <c r="C60" i="13"/>
  <c r="E59" i="13"/>
  <c r="C59" i="13"/>
  <c r="E58" i="13"/>
  <c r="C58" i="13"/>
  <c r="E57" i="13"/>
  <c r="C57" i="13"/>
  <c r="E56" i="13"/>
  <c r="C56" i="13"/>
  <c r="C55" i="13"/>
  <c r="E49" i="13"/>
  <c r="D49" i="13"/>
  <c r="C49" i="13"/>
  <c r="E48" i="13"/>
  <c r="D48" i="13"/>
  <c r="C48" i="13"/>
  <c r="E47" i="13"/>
  <c r="D47" i="13"/>
  <c r="C47" i="13"/>
  <c r="E45" i="13"/>
  <c r="D45" i="13"/>
  <c r="C45" i="13"/>
  <c r="E44" i="13"/>
  <c r="D44" i="13"/>
  <c r="C44" i="13"/>
  <c r="E43" i="13"/>
  <c r="D43" i="13"/>
  <c r="C43" i="13"/>
  <c r="E42" i="13"/>
  <c r="D42" i="13"/>
  <c r="C42" i="13"/>
  <c r="E40" i="13"/>
  <c r="D40" i="13"/>
  <c r="C40" i="13"/>
  <c r="E39" i="13"/>
  <c r="D39" i="13"/>
  <c r="C39" i="13"/>
  <c r="E37" i="13"/>
  <c r="D37" i="13"/>
  <c r="C37" i="13"/>
  <c r="E36" i="13"/>
  <c r="D36" i="13"/>
  <c r="C36" i="13"/>
  <c r="E35" i="13"/>
  <c r="D35" i="13"/>
  <c r="C35" i="13"/>
  <c r="E34" i="13"/>
  <c r="D34" i="13"/>
  <c r="C34" i="13"/>
  <c r="E33" i="13"/>
  <c r="D33" i="13"/>
  <c r="C33" i="13"/>
  <c r="E32" i="13"/>
  <c r="D32" i="13"/>
  <c r="C32" i="13"/>
  <c r="E31" i="13"/>
  <c r="D31" i="13"/>
  <c r="C31" i="13"/>
  <c r="E30" i="13"/>
  <c r="D30" i="13"/>
  <c r="C30" i="13"/>
  <c r="E29" i="13"/>
  <c r="D29" i="13"/>
  <c r="C29" i="13"/>
  <c r="E28" i="13"/>
  <c r="D28" i="13"/>
  <c r="C28" i="13"/>
  <c r="E26" i="13"/>
  <c r="D26" i="13"/>
  <c r="C26" i="13"/>
  <c r="E25" i="13"/>
  <c r="D25" i="13"/>
  <c r="C25" i="13"/>
  <c r="E24" i="13"/>
  <c r="D24" i="13"/>
  <c r="C24" i="13"/>
  <c r="E23" i="13"/>
  <c r="D23" i="13"/>
  <c r="C23" i="13"/>
  <c r="E22" i="13"/>
  <c r="D22" i="13"/>
  <c r="C22" i="13"/>
  <c r="E21" i="13"/>
  <c r="D21" i="13"/>
  <c r="C21" i="13"/>
  <c r="E20" i="13"/>
  <c r="D20" i="13"/>
  <c r="C20" i="13"/>
  <c r="E19" i="13"/>
  <c r="D19" i="13"/>
  <c r="C19" i="13"/>
  <c r="E18" i="13"/>
  <c r="D18" i="13"/>
  <c r="C18" i="13"/>
  <c r="E17" i="13"/>
  <c r="D17" i="13"/>
  <c r="C17" i="13"/>
  <c r="E16" i="13"/>
  <c r="D16" i="13"/>
  <c r="C16" i="13"/>
  <c r="E15" i="13"/>
  <c r="D15" i="13"/>
  <c r="C15" i="13"/>
  <c r="E14" i="13"/>
  <c r="D14" i="13"/>
  <c r="C14" i="13"/>
  <c r="C8" i="13"/>
  <c r="C6" i="13"/>
  <c r="A5" i="13"/>
  <c r="C4" i="13"/>
  <c r="A4" i="13"/>
  <c r="A3" i="13"/>
  <c r="A2" i="13"/>
  <c r="E315" i="12" l="1"/>
  <c r="E315" i="7"/>
  <c r="C235" i="13"/>
  <c r="E61" i="13"/>
  <c r="E55" i="13" s="1"/>
  <c r="C50" i="13"/>
  <c r="C76" i="13"/>
  <c r="E68" i="13"/>
  <c r="E235" i="13"/>
  <c r="C294" i="13"/>
  <c r="C84" i="13"/>
  <c r="D109" i="13"/>
  <c r="E109" i="13"/>
  <c r="E116" i="13"/>
  <c r="C139" i="13"/>
  <c r="E155" i="13"/>
  <c r="C168" i="13"/>
  <c r="E221" i="13"/>
  <c r="C221" i="13"/>
  <c r="E294" i="13"/>
  <c r="E50" i="13"/>
  <c r="E84" i="13"/>
  <c r="F109" i="13"/>
  <c r="E139" i="13"/>
  <c r="E168" i="13"/>
  <c r="E284" i="13"/>
  <c r="E306" i="13"/>
  <c r="C109" i="13"/>
  <c r="C116" i="13"/>
  <c r="E147" i="13"/>
  <c r="C147" i="13"/>
  <c r="C155" i="13"/>
  <c r="E207" i="13"/>
  <c r="C207" i="13"/>
  <c r="C284" i="13"/>
  <c r="E76" i="13" l="1"/>
  <c r="E310" i="13"/>
  <c r="C148" i="13"/>
  <c r="E148" i="13"/>
  <c r="E348" i="5"/>
  <c r="E347" i="5"/>
  <c r="E339" i="5"/>
  <c r="E338" i="5"/>
  <c r="C325" i="5"/>
  <c r="C333" i="5" s="1"/>
  <c r="E305" i="5"/>
  <c r="D305" i="5"/>
  <c r="C305" i="5"/>
  <c r="E304" i="5"/>
  <c r="D304" i="5"/>
  <c r="C304" i="5"/>
  <c r="E303" i="5"/>
  <c r="D303" i="5"/>
  <c r="C303" i="5"/>
  <c r="E302" i="5"/>
  <c r="D302" i="5"/>
  <c r="C302" i="5"/>
  <c r="E301" i="5"/>
  <c r="D301" i="5"/>
  <c r="C301" i="5"/>
  <c r="E300" i="5"/>
  <c r="D300" i="5"/>
  <c r="C300" i="5"/>
  <c r="E299" i="5"/>
  <c r="D299" i="5"/>
  <c r="C299" i="5"/>
  <c r="E293" i="5"/>
  <c r="D293" i="5"/>
  <c r="C293" i="5"/>
  <c r="E292" i="5"/>
  <c r="D292" i="5"/>
  <c r="C292" i="5"/>
  <c r="E291" i="5"/>
  <c r="D291" i="5"/>
  <c r="C291" i="5"/>
  <c r="E290" i="5"/>
  <c r="D290" i="5"/>
  <c r="C290" i="5"/>
  <c r="E289" i="5"/>
  <c r="D289" i="5"/>
  <c r="C289" i="5"/>
  <c r="E283" i="5"/>
  <c r="D283" i="5"/>
  <c r="C283" i="5"/>
  <c r="E282" i="5"/>
  <c r="D282" i="5"/>
  <c r="C282" i="5"/>
  <c r="E281" i="5"/>
  <c r="D281" i="5"/>
  <c r="C281" i="5"/>
  <c r="E280" i="5"/>
  <c r="D280" i="5"/>
  <c r="C280" i="5"/>
  <c r="E279" i="5"/>
  <c r="D279" i="5"/>
  <c r="C279" i="5"/>
  <c r="E278" i="5"/>
  <c r="D278" i="5"/>
  <c r="C278" i="5"/>
  <c r="E276" i="5"/>
  <c r="D276" i="5"/>
  <c r="C276" i="5"/>
  <c r="E275" i="5"/>
  <c r="D275" i="5"/>
  <c r="C275" i="5"/>
  <c r="E274" i="5"/>
  <c r="D274" i="5"/>
  <c r="C274" i="5"/>
  <c r="E273" i="5"/>
  <c r="D273" i="5"/>
  <c r="C273" i="5"/>
  <c r="E272" i="5"/>
  <c r="D272" i="5"/>
  <c r="C272" i="5"/>
  <c r="E271" i="5"/>
  <c r="D271" i="5"/>
  <c r="C271" i="5"/>
  <c r="E270" i="5"/>
  <c r="D270" i="5"/>
  <c r="C270" i="5"/>
  <c r="E269" i="5"/>
  <c r="D269" i="5"/>
  <c r="C269" i="5"/>
  <c r="E268" i="5"/>
  <c r="D268" i="5"/>
  <c r="C268" i="5"/>
  <c r="E267" i="5"/>
  <c r="D267" i="5"/>
  <c r="C267" i="5"/>
  <c r="E266" i="5"/>
  <c r="D266" i="5"/>
  <c r="C266" i="5"/>
  <c r="E265" i="5"/>
  <c r="D265" i="5"/>
  <c r="C265" i="5"/>
  <c r="E264" i="5"/>
  <c r="D264" i="5"/>
  <c r="C264" i="5"/>
  <c r="E263" i="5"/>
  <c r="D263" i="5"/>
  <c r="C263" i="5"/>
  <c r="E262" i="5"/>
  <c r="D262" i="5"/>
  <c r="C262" i="5"/>
  <c r="E261" i="5"/>
  <c r="D261" i="5"/>
  <c r="C261" i="5"/>
  <c r="E260" i="5"/>
  <c r="D260" i="5"/>
  <c r="C260" i="5"/>
  <c r="E259" i="5"/>
  <c r="D259" i="5"/>
  <c r="C259" i="5"/>
  <c r="E257" i="5"/>
  <c r="D257" i="5"/>
  <c r="C257" i="5"/>
  <c r="E256" i="5"/>
  <c r="D256" i="5"/>
  <c r="C256" i="5"/>
  <c r="E255" i="5"/>
  <c r="D255" i="5"/>
  <c r="C255" i="5"/>
  <c r="E254" i="5"/>
  <c r="D254" i="5"/>
  <c r="C254" i="5"/>
  <c r="E253" i="5"/>
  <c r="D253" i="5"/>
  <c r="C253" i="5"/>
  <c r="E252" i="5"/>
  <c r="D252" i="5"/>
  <c r="C252" i="5"/>
  <c r="E251" i="5"/>
  <c r="D251" i="5"/>
  <c r="C251" i="5"/>
  <c r="E250" i="5"/>
  <c r="D250" i="5"/>
  <c r="C250" i="5"/>
  <c r="E249" i="5"/>
  <c r="D249" i="5"/>
  <c r="C249" i="5"/>
  <c r="E248" i="5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0" i="5"/>
  <c r="C240" i="5"/>
  <c r="E234" i="5"/>
  <c r="D234" i="5"/>
  <c r="C234" i="5"/>
  <c r="E233" i="5"/>
  <c r="D233" i="5"/>
  <c r="C233" i="5"/>
  <c r="C228" i="5"/>
  <c r="E220" i="5"/>
  <c r="D220" i="5"/>
  <c r="C220" i="5"/>
  <c r="E219" i="5"/>
  <c r="C219" i="5"/>
  <c r="E218" i="5"/>
  <c r="D218" i="5"/>
  <c r="C218" i="5"/>
  <c r="E217" i="5"/>
  <c r="D217" i="5"/>
  <c r="C217" i="5"/>
  <c r="E216" i="5"/>
  <c r="D216" i="5"/>
  <c r="C216" i="5"/>
  <c r="E215" i="5"/>
  <c r="D215" i="5"/>
  <c r="C215" i="5"/>
  <c r="E214" i="5"/>
  <c r="D214" i="5"/>
  <c r="C214" i="5"/>
  <c r="E213" i="5"/>
  <c r="D213" i="5"/>
  <c r="C213" i="5"/>
  <c r="E212" i="5"/>
  <c r="D212" i="5"/>
  <c r="C212" i="5"/>
  <c r="E206" i="5"/>
  <c r="D206" i="5"/>
  <c r="C206" i="5"/>
  <c r="E205" i="5"/>
  <c r="D205" i="5"/>
  <c r="C205" i="5"/>
  <c r="E204" i="5"/>
  <c r="D204" i="5"/>
  <c r="C204" i="5"/>
  <c r="E203" i="5"/>
  <c r="D203" i="5"/>
  <c r="C203" i="5"/>
  <c r="E202" i="5"/>
  <c r="D202" i="5"/>
  <c r="C202" i="5"/>
  <c r="E201" i="5"/>
  <c r="D201" i="5"/>
  <c r="C201" i="5"/>
  <c r="E200" i="5"/>
  <c r="D200" i="5"/>
  <c r="C200" i="5"/>
  <c r="E199" i="5"/>
  <c r="D199" i="5"/>
  <c r="C199" i="5"/>
  <c r="E198" i="5"/>
  <c r="D198" i="5"/>
  <c r="C198" i="5"/>
  <c r="E197" i="5"/>
  <c r="D197" i="5"/>
  <c r="C197" i="5"/>
  <c r="E196" i="5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D184" i="5"/>
  <c r="C184" i="5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E167" i="5"/>
  <c r="D167" i="5"/>
  <c r="C167" i="5"/>
  <c r="E166" i="5"/>
  <c r="D166" i="5"/>
  <c r="C166" i="5"/>
  <c r="E165" i="5"/>
  <c r="D165" i="5"/>
  <c r="C165" i="5"/>
  <c r="E164" i="5"/>
  <c r="D164" i="5"/>
  <c r="C164" i="5"/>
  <c r="E163" i="5"/>
  <c r="D163" i="5"/>
  <c r="C163" i="5"/>
  <c r="E162" i="5"/>
  <c r="D162" i="5"/>
  <c r="C162" i="5"/>
  <c r="E161" i="5"/>
  <c r="D161" i="5"/>
  <c r="C161" i="5"/>
  <c r="E160" i="5"/>
  <c r="D160" i="5"/>
  <c r="C160" i="5"/>
  <c r="E154" i="5"/>
  <c r="D154" i="5"/>
  <c r="C154" i="5"/>
  <c r="E153" i="5"/>
  <c r="D153" i="5"/>
  <c r="C153" i="5"/>
  <c r="E146" i="5"/>
  <c r="D146" i="5"/>
  <c r="C146" i="5"/>
  <c r="E145" i="5"/>
  <c r="D145" i="5"/>
  <c r="C145" i="5"/>
  <c r="E144" i="5"/>
  <c r="D144" i="5"/>
  <c r="C144" i="5"/>
  <c r="E143" i="5"/>
  <c r="D143" i="5"/>
  <c r="C143" i="5"/>
  <c r="E142" i="5"/>
  <c r="D142" i="5"/>
  <c r="C142" i="5"/>
  <c r="E141" i="5"/>
  <c r="D141" i="5"/>
  <c r="C141" i="5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D128" i="5"/>
  <c r="C128" i="5"/>
  <c r="E127" i="5"/>
  <c r="D127" i="5"/>
  <c r="C127" i="5"/>
  <c r="E126" i="5"/>
  <c r="D126" i="5"/>
  <c r="C126" i="5"/>
  <c r="C121" i="5"/>
  <c r="E115" i="5"/>
  <c r="D115" i="5"/>
  <c r="C115" i="5"/>
  <c r="E114" i="5"/>
  <c r="D114" i="5"/>
  <c r="C114" i="5"/>
  <c r="F108" i="5"/>
  <c r="E108" i="5"/>
  <c r="D108" i="5"/>
  <c r="C108" i="5"/>
  <c r="F107" i="5"/>
  <c r="E107" i="5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C103" i="5"/>
  <c r="F102" i="5"/>
  <c r="E102" i="5"/>
  <c r="D102" i="5"/>
  <c r="C102" i="5"/>
  <c r="F101" i="5"/>
  <c r="E101" i="5"/>
  <c r="D101" i="5"/>
  <c r="C101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E83" i="5"/>
  <c r="C83" i="5"/>
  <c r="E82" i="5"/>
  <c r="C82" i="5"/>
  <c r="E81" i="5"/>
  <c r="C81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C61" i="5"/>
  <c r="E60" i="5"/>
  <c r="C60" i="5"/>
  <c r="E59" i="5"/>
  <c r="C59" i="5"/>
  <c r="E58" i="5"/>
  <c r="C58" i="5"/>
  <c r="E57" i="5"/>
  <c r="C57" i="5"/>
  <c r="E56" i="5"/>
  <c r="C56" i="5"/>
  <c r="C55" i="5"/>
  <c r="E49" i="5"/>
  <c r="D49" i="5"/>
  <c r="C49" i="5"/>
  <c r="E48" i="5"/>
  <c r="D48" i="5"/>
  <c r="C48" i="5"/>
  <c r="E47" i="5"/>
  <c r="D47" i="5"/>
  <c r="C47" i="5"/>
  <c r="E45" i="5"/>
  <c r="D45" i="5"/>
  <c r="C45" i="5"/>
  <c r="E44" i="5"/>
  <c r="D44" i="5"/>
  <c r="C44" i="5"/>
  <c r="E43" i="5"/>
  <c r="D43" i="5"/>
  <c r="C43" i="5"/>
  <c r="E42" i="5"/>
  <c r="D42" i="5"/>
  <c r="C42" i="5"/>
  <c r="E40" i="5"/>
  <c r="D40" i="5"/>
  <c r="C40" i="5"/>
  <c r="E39" i="5"/>
  <c r="D39" i="5"/>
  <c r="C39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C8" i="5"/>
  <c r="C6" i="5"/>
  <c r="A5" i="5"/>
  <c r="C4" i="5"/>
  <c r="A4" i="5"/>
  <c r="A3" i="5"/>
  <c r="A2" i="5"/>
  <c r="E348" i="6"/>
  <c r="E347" i="6"/>
  <c r="E339" i="6"/>
  <c r="E338" i="6"/>
  <c r="C325" i="6"/>
  <c r="C333" i="6" s="1"/>
  <c r="E305" i="6"/>
  <c r="D305" i="6"/>
  <c r="C305" i="6"/>
  <c r="E304" i="6"/>
  <c r="D304" i="6"/>
  <c r="C304" i="6"/>
  <c r="E303" i="6"/>
  <c r="D303" i="6"/>
  <c r="C303" i="6"/>
  <c r="E302" i="6"/>
  <c r="D302" i="6"/>
  <c r="C302" i="6"/>
  <c r="E301" i="6"/>
  <c r="D301" i="6"/>
  <c r="C301" i="6"/>
  <c r="E300" i="6"/>
  <c r="D300" i="6"/>
  <c r="C300" i="6"/>
  <c r="E299" i="6"/>
  <c r="D299" i="6"/>
  <c r="C299" i="6"/>
  <c r="E293" i="6"/>
  <c r="D293" i="6"/>
  <c r="C293" i="6"/>
  <c r="E292" i="6"/>
  <c r="D292" i="6"/>
  <c r="C292" i="6"/>
  <c r="E291" i="6"/>
  <c r="D291" i="6"/>
  <c r="C291" i="6"/>
  <c r="E290" i="6"/>
  <c r="D290" i="6"/>
  <c r="C290" i="6"/>
  <c r="E289" i="6"/>
  <c r="D289" i="6"/>
  <c r="C289" i="6"/>
  <c r="E283" i="6"/>
  <c r="D283" i="6"/>
  <c r="C283" i="6"/>
  <c r="E282" i="6"/>
  <c r="D282" i="6"/>
  <c r="C282" i="6"/>
  <c r="E281" i="6"/>
  <c r="D281" i="6"/>
  <c r="C281" i="6"/>
  <c r="E280" i="6"/>
  <c r="D280" i="6"/>
  <c r="C280" i="6"/>
  <c r="E279" i="6"/>
  <c r="D279" i="6"/>
  <c r="C279" i="6"/>
  <c r="E278" i="6"/>
  <c r="D278" i="6"/>
  <c r="C278" i="6"/>
  <c r="E276" i="6"/>
  <c r="D276" i="6"/>
  <c r="C276" i="6"/>
  <c r="E275" i="6"/>
  <c r="D275" i="6"/>
  <c r="C275" i="6"/>
  <c r="E274" i="6"/>
  <c r="D274" i="6"/>
  <c r="C274" i="6"/>
  <c r="E273" i="6"/>
  <c r="D273" i="6"/>
  <c r="C273" i="6"/>
  <c r="E272" i="6"/>
  <c r="D272" i="6"/>
  <c r="C272" i="6"/>
  <c r="E271" i="6"/>
  <c r="D271" i="6"/>
  <c r="C271" i="6"/>
  <c r="E270" i="6"/>
  <c r="D270" i="6"/>
  <c r="C270" i="6"/>
  <c r="E269" i="6"/>
  <c r="D269" i="6"/>
  <c r="C269" i="6"/>
  <c r="E268" i="6"/>
  <c r="D268" i="6"/>
  <c r="C268" i="6"/>
  <c r="E267" i="6"/>
  <c r="D267" i="6"/>
  <c r="C267" i="6"/>
  <c r="E266" i="6"/>
  <c r="D266" i="6"/>
  <c r="C266" i="6"/>
  <c r="E265" i="6"/>
  <c r="D265" i="6"/>
  <c r="C265" i="6"/>
  <c r="E264" i="6"/>
  <c r="D264" i="6"/>
  <c r="C264" i="6"/>
  <c r="E263" i="6"/>
  <c r="D263" i="6"/>
  <c r="C263" i="6"/>
  <c r="E262" i="6"/>
  <c r="D262" i="6"/>
  <c r="C262" i="6"/>
  <c r="E261" i="6"/>
  <c r="D261" i="6"/>
  <c r="C261" i="6"/>
  <c r="E260" i="6"/>
  <c r="D260" i="6"/>
  <c r="C260" i="6"/>
  <c r="E259" i="6"/>
  <c r="D259" i="6"/>
  <c r="C259" i="6"/>
  <c r="E257" i="6"/>
  <c r="D257" i="6"/>
  <c r="C257" i="6"/>
  <c r="E256" i="6"/>
  <c r="D256" i="6"/>
  <c r="C256" i="6"/>
  <c r="E255" i="6"/>
  <c r="D255" i="6"/>
  <c r="C255" i="6"/>
  <c r="E254" i="6"/>
  <c r="D254" i="6"/>
  <c r="C254" i="6"/>
  <c r="E253" i="6"/>
  <c r="D253" i="6"/>
  <c r="C253" i="6"/>
  <c r="E252" i="6"/>
  <c r="D252" i="6"/>
  <c r="C252" i="6"/>
  <c r="E251" i="6"/>
  <c r="D251" i="6"/>
  <c r="C251" i="6"/>
  <c r="E250" i="6"/>
  <c r="D250" i="6"/>
  <c r="C250" i="6"/>
  <c r="E249" i="6"/>
  <c r="D249" i="6"/>
  <c r="C249" i="6"/>
  <c r="E248" i="6"/>
  <c r="D248" i="6"/>
  <c r="C248" i="6"/>
  <c r="E247" i="6"/>
  <c r="D247" i="6"/>
  <c r="C247" i="6"/>
  <c r="E246" i="6"/>
  <c r="D246" i="6"/>
  <c r="C246" i="6"/>
  <c r="E245" i="6"/>
  <c r="D245" i="6"/>
  <c r="C245" i="6"/>
  <c r="E244" i="6"/>
  <c r="D244" i="6"/>
  <c r="C244" i="6"/>
  <c r="E240" i="6"/>
  <c r="C240" i="6"/>
  <c r="E234" i="6"/>
  <c r="D234" i="6"/>
  <c r="C234" i="6"/>
  <c r="E233" i="6"/>
  <c r="D233" i="6"/>
  <c r="C233" i="6"/>
  <c r="C228" i="6"/>
  <c r="E220" i="6"/>
  <c r="D220" i="6"/>
  <c r="C220" i="6"/>
  <c r="E219" i="6"/>
  <c r="C219" i="6"/>
  <c r="E218" i="6"/>
  <c r="D218" i="6"/>
  <c r="C218" i="6"/>
  <c r="E217" i="6"/>
  <c r="D217" i="6"/>
  <c r="C217" i="6"/>
  <c r="E216" i="6"/>
  <c r="D216" i="6"/>
  <c r="C216" i="6"/>
  <c r="E215" i="6"/>
  <c r="D215" i="6"/>
  <c r="C215" i="6"/>
  <c r="E214" i="6"/>
  <c r="D214" i="6"/>
  <c r="C214" i="6"/>
  <c r="E213" i="6"/>
  <c r="D213" i="6"/>
  <c r="C213" i="6"/>
  <c r="E212" i="6"/>
  <c r="D212" i="6"/>
  <c r="C212" i="6"/>
  <c r="E206" i="6"/>
  <c r="D206" i="6"/>
  <c r="C206" i="6"/>
  <c r="E205" i="6"/>
  <c r="D205" i="6"/>
  <c r="C205" i="6"/>
  <c r="E204" i="6"/>
  <c r="D204" i="6"/>
  <c r="C204" i="6"/>
  <c r="E203" i="6"/>
  <c r="D203" i="6"/>
  <c r="C203" i="6"/>
  <c r="E202" i="6"/>
  <c r="D202" i="6"/>
  <c r="C202" i="6"/>
  <c r="E201" i="6"/>
  <c r="D201" i="6"/>
  <c r="C201" i="6"/>
  <c r="E200" i="6"/>
  <c r="D200" i="6"/>
  <c r="C200" i="6"/>
  <c r="E199" i="6"/>
  <c r="D199" i="6"/>
  <c r="C199" i="6"/>
  <c r="E198" i="6"/>
  <c r="D198" i="6"/>
  <c r="C198" i="6"/>
  <c r="E197" i="6"/>
  <c r="D197" i="6"/>
  <c r="C197" i="6"/>
  <c r="E196" i="6"/>
  <c r="D196" i="6"/>
  <c r="C196" i="6"/>
  <c r="E195" i="6"/>
  <c r="D195" i="6"/>
  <c r="C195" i="6"/>
  <c r="E194" i="6"/>
  <c r="D194" i="6"/>
  <c r="C194" i="6"/>
  <c r="E193" i="6"/>
  <c r="D193" i="6"/>
  <c r="C193" i="6"/>
  <c r="E192" i="6"/>
  <c r="D192" i="6"/>
  <c r="C192" i="6"/>
  <c r="E191" i="6"/>
  <c r="D191" i="6"/>
  <c r="C191" i="6"/>
  <c r="E190" i="6"/>
  <c r="D190" i="6"/>
  <c r="C190" i="6"/>
  <c r="E189" i="6"/>
  <c r="D189" i="6"/>
  <c r="C189" i="6"/>
  <c r="E188" i="6"/>
  <c r="D188" i="6"/>
  <c r="C188" i="6"/>
  <c r="E187" i="6"/>
  <c r="D187" i="6"/>
  <c r="C187" i="6"/>
  <c r="E186" i="6"/>
  <c r="D186" i="6"/>
  <c r="C186" i="6"/>
  <c r="E185" i="6"/>
  <c r="D185" i="6"/>
  <c r="C185" i="6"/>
  <c r="E184" i="6"/>
  <c r="D184" i="6"/>
  <c r="C184" i="6"/>
  <c r="E183" i="6"/>
  <c r="D183" i="6"/>
  <c r="C183" i="6"/>
  <c r="E182" i="6"/>
  <c r="D182" i="6"/>
  <c r="C182" i="6"/>
  <c r="E181" i="6"/>
  <c r="D181" i="6"/>
  <c r="C181" i="6"/>
  <c r="E180" i="6"/>
  <c r="D180" i="6"/>
  <c r="C180" i="6"/>
  <c r="E179" i="6"/>
  <c r="D179" i="6"/>
  <c r="C179" i="6"/>
  <c r="E178" i="6"/>
  <c r="D178" i="6"/>
  <c r="C178" i="6"/>
  <c r="E177" i="6"/>
  <c r="D177" i="6"/>
  <c r="C177" i="6"/>
  <c r="E176" i="6"/>
  <c r="D176" i="6"/>
  <c r="C176" i="6"/>
  <c r="E175" i="6"/>
  <c r="D175" i="6"/>
  <c r="C175" i="6"/>
  <c r="E174" i="6"/>
  <c r="D174" i="6"/>
  <c r="C174" i="6"/>
  <c r="E173" i="6"/>
  <c r="D173" i="6"/>
  <c r="C173" i="6"/>
  <c r="E167" i="6"/>
  <c r="D167" i="6"/>
  <c r="C167" i="6"/>
  <c r="E166" i="6"/>
  <c r="D166" i="6"/>
  <c r="C166" i="6"/>
  <c r="E165" i="6"/>
  <c r="D165" i="6"/>
  <c r="C165" i="6"/>
  <c r="E164" i="6"/>
  <c r="D164" i="6"/>
  <c r="C164" i="6"/>
  <c r="E163" i="6"/>
  <c r="D163" i="6"/>
  <c r="C163" i="6"/>
  <c r="E162" i="6"/>
  <c r="D162" i="6"/>
  <c r="C162" i="6"/>
  <c r="E161" i="6"/>
  <c r="D161" i="6"/>
  <c r="C161" i="6"/>
  <c r="E160" i="6"/>
  <c r="D160" i="6"/>
  <c r="C160" i="6"/>
  <c r="E154" i="6"/>
  <c r="D154" i="6"/>
  <c r="C154" i="6"/>
  <c r="E153" i="6"/>
  <c r="D153" i="6"/>
  <c r="C153" i="6"/>
  <c r="E146" i="6"/>
  <c r="D146" i="6"/>
  <c r="C146" i="6"/>
  <c r="E145" i="6"/>
  <c r="D145" i="6"/>
  <c r="C145" i="6"/>
  <c r="E144" i="6"/>
  <c r="D144" i="6"/>
  <c r="C144" i="6"/>
  <c r="E143" i="6"/>
  <c r="D143" i="6"/>
  <c r="C143" i="6"/>
  <c r="E142" i="6"/>
  <c r="D142" i="6"/>
  <c r="C142" i="6"/>
  <c r="E141" i="6"/>
  <c r="D141" i="6"/>
  <c r="C141" i="6"/>
  <c r="E138" i="6"/>
  <c r="D138" i="6"/>
  <c r="C138" i="6"/>
  <c r="E137" i="6"/>
  <c r="D137" i="6"/>
  <c r="C137" i="6"/>
  <c r="E136" i="6"/>
  <c r="D136" i="6"/>
  <c r="C136" i="6"/>
  <c r="E135" i="6"/>
  <c r="D135" i="6"/>
  <c r="C135" i="6"/>
  <c r="E134" i="6"/>
  <c r="D134" i="6"/>
  <c r="C134" i="6"/>
  <c r="E133" i="6"/>
  <c r="D133" i="6"/>
  <c r="C133" i="6"/>
  <c r="E132" i="6"/>
  <c r="D132" i="6"/>
  <c r="C132" i="6"/>
  <c r="E131" i="6"/>
  <c r="D131" i="6"/>
  <c r="C131" i="6"/>
  <c r="E130" i="6"/>
  <c r="D130" i="6"/>
  <c r="C130" i="6"/>
  <c r="E129" i="6"/>
  <c r="D129" i="6"/>
  <c r="C129" i="6"/>
  <c r="E128" i="6"/>
  <c r="D128" i="6"/>
  <c r="C128" i="6"/>
  <c r="E127" i="6"/>
  <c r="D127" i="6"/>
  <c r="C127" i="6"/>
  <c r="E126" i="6"/>
  <c r="D126" i="6"/>
  <c r="C126" i="6"/>
  <c r="C121" i="6"/>
  <c r="E115" i="6"/>
  <c r="D115" i="6"/>
  <c r="C115" i="6"/>
  <c r="E114" i="6"/>
  <c r="D114" i="6"/>
  <c r="C114" i="6"/>
  <c r="F108" i="6"/>
  <c r="E108" i="6"/>
  <c r="D108" i="6"/>
  <c r="C108" i="6"/>
  <c r="F107" i="6"/>
  <c r="E107" i="6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C103" i="6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E83" i="6"/>
  <c r="C83" i="6"/>
  <c r="E82" i="6"/>
  <c r="C82" i="6"/>
  <c r="E81" i="6"/>
  <c r="C81" i="6"/>
  <c r="E75" i="6"/>
  <c r="C75" i="6"/>
  <c r="E74" i="6"/>
  <c r="C74" i="6"/>
  <c r="E73" i="6"/>
  <c r="C73" i="6"/>
  <c r="E72" i="6"/>
  <c r="C72" i="6"/>
  <c r="E71" i="6"/>
  <c r="C71" i="6"/>
  <c r="E70" i="6"/>
  <c r="C70" i="6"/>
  <c r="E69" i="6"/>
  <c r="C69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C61" i="6"/>
  <c r="E60" i="6"/>
  <c r="C60" i="6"/>
  <c r="E59" i="6"/>
  <c r="C59" i="6"/>
  <c r="E58" i="6"/>
  <c r="C58" i="6"/>
  <c r="E57" i="6"/>
  <c r="C57" i="6"/>
  <c r="E56" i="6"/>
  <c r="C56" i="6"/>
  <c r="C55" i="6"/>
  <c r="E49" i="6"/>
  <c r="D49" i="6"/>
  <c r="C49" i="6"/>
  <c r="E48" i="6"/>
  <c r="D48" i="6"/>
  <c r="C48" i="6"/>
  <c r="E47" i="6"/>
  <c r="D47" i="6"/>
  <c r="C47" i="6"/>
  <c r="E45" i="6"/>
  <c r="D45" i="6"/>
  <c r="C45" i="6"/>
  <c r="E44" i="6"/>
  <c r="D44" i="6"/>
  <c r="C44" i="6"/>
  <c r="E43" i="6"/>
  <c r="D43" i="6"/>
  <c r="C43" i="6"/>
  <c r="E42" i="6"/>
  <c r="D42" i="6"/>
  <c r="C42" i="6"/>
  <c r="E40" i="6"/>
  <c r="D40" i="6"/>
  <c r="C40" i="6"/>
  <c r="E39" i="6"/>
  <c r="D39" i="6"/>
  <c r="C39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8" i="6"/>
  <c r="D28" i="6"/>
  <c r="C28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C8" i="6"/>
  <c r="C6" i="6"/>
  <c r="A5" i="6"/>
  <c r="C4" i="6"/>
  <c r="A4" i="6"/>
  <c r="A3" i="6"/>
  <c r="A2" i="6"/>
  <c r="E315" i="13" l="1"/>
  <c r="E61" i="5"/>
  <c r="E55" i="5" s="1"/>
  <c r="C116" i="5"/>
  <c r="E235" i="6"/>
  <c r="C168" i="6"/>
  <c r="E155" i="6"/>
  <c r="C207" i="6"/>
  <c r="C139" i="6"/>
  <c r="E139" i="6"/>
  <c r="C84" i="6"/>
  <c r="C116" i="6"/>
  <c r="C155" i="6"/>
  <c r="E168" i="5"/>
  <c r="E221" i="5"/>
  <c r="C235" i="5"/>
  <c r="C235" i="6"/>
  <c r="E68" i="6"/>
  <c r="E284" i="6"/>
  <c r="C294" i="6"/>
  <c r="E294" i="6"/>
  <c r="C50" i="5"/>
  <c r="E68" i="5"/>
  <c r="C155" i="5"/>
  <c r="C109" i="6"/>
  <c r="D109" i="5"/>
  <c r="E50" i="6"/>
  <c r="E168" i="6"/>
  <c r="E221" i="6"/>
  <c r="E109" i="5"/>
  <c r="E147" i="5"/>
  <c r="C221" i="5"/>
  <c r="C284" i="5"/>
  <c r="E61" i="6"/>
  <c r="E55" i="6" s="1"/>
  <c r="E109" i="6"/>
  <c r="E116" i="6"/>
  <c r="E147" i="6"/>
  <c r="C221" i="6"/>
  <c r="C284" i="6"/>
  <c r="E50" i="5"/>
  <c r="C76" i="5"/>
  <c r="E84" i="5"/>
  <c r="F109" i="5"/>
  <c r="C147" i="5"/>
  <c r="E155" i="5"/>
  <c r="E207" i="5"/>
  <c r="E235" i="5"/>
  <c r="D109" i="6"/>
  <c r="E306" i="6"/>
  <c r="E116" i="5"/>
  <c r="C50" i="6"/>
  <c r="C76" i="6"/>
  <c r="E84" i="6"/>
  <c r="F109" i="6"/>
  <c r="C147" i="6"/>
  <c r="E207" i="6"/>
  <c r="C84" i="5"/>
  <c r="C109" i="5"/>
  <c r="C139" i="5"/>
  <c r="E139" i="5"/>
  <c r="C168" i="5"/>
  <c r="C207" i="5"/>
  <c r="E284" i="5"/>
  <c r="C294" i="5"/>
  <c r="E294" i="5"/>
  <c r="E306" i="5"/>
  <c r="E348" i="1"/>
  <c r="E347" i="1"/>
  <c r="E339" i="1"/>
  <c r="E338" i="1"/>
  <c r="C333" i="1"/>
  <c r="C325" i="1"/>
  <c r="E305" i="1"/>
  <c r="D305" i="1"/>
  <c r="C305" i="1"/>
  <c r="E304" i="1"/>
  <c r="D304" i="1"/>
  <c r="C304" i="1"/>
  <c r="E303" i="1"/>
  <c r="D303" i="1"/>
  <c r="C303" i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3" i="1"/>
  <c r="D293" i="1"/>
  <c r="C293" i="1"/>
  <c r="E292" i="1"/>
  <c r="D292" i="1"/>
  <c r="C292" i="1"/>
  <c r="E291" i="1"/>
  <c r="D291" i="1"/>
  <c r="C291" i="1"/>
  <c r="E290" i="1"/>
  <c r="D290" i="1"/>
  <c r="C290" i="1"/>
  <c r="E289" i="1"/>
  <c r="D289" i="1"/>
  <c r="C289" i="1"/>
  <c r="E283" i="1"/>
  <c r="D283" i="1"/>
  <c r="C283" i="1"/>
  <c r="E282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0" i="1"/>
  <c r="C240" i="1"/>
  <c r="E234" i="1"/>
  <c r="D234" i="1"/>
  <c r="C234" i="1"/>
  <c r="E233" i="1"/>
  <c r="D233" i="1"/>
  <c r="C233" i="1"/>
  <c r="C228" i="1"/>
  <c r="E220" i="1"/>
  <c r="D220" i="1"/>
  <c r="C220" i="1"/>
  <c r="E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4" i="1"/>
  <c r="D154" i="1"/>
  <c r="C154" i="1"/>
  <c r="E153" i="1"/>
  <c r="D153" i="1"/>
  <c r="C153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C121" i="1"/>
  <c r="E115" i="1"/>
  <c r="D115" i="1"/>
  <c r="C115" i="1"/>
  <c r="E114" i="1"/>
  <c r="D114" i="1"/>
  <c r="C114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E83" i="1"/>
  <c r="C83" i="1"/>
  <c r="E82" i="1"/>
  <c r="C82" i="1"/>
  <c r="E81" i="1"/>
  <c r="C81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C61" i="1"/>
  <c r="E60" i="1"/>
  <c r="C60" i="1"/>
  <c r="E59" i="1"/>
  <c r="C59" i="1"/>
  <c r="E58" i="1"/>
  <c r="C58" i="1"/>
  <c r="E57" i="1"/>
  <c r="C57" i="1"/>
  <c r="E56" i="1"/>
  <c r="C56" i="1"/>
  <c r="C55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0" i="1"/>
  <c r="D40" i="1"/>
  <c r="C40" i="1"/>
  <c r="E39" i="1"/>
  <c r="D39" i="1"/>
  <c r="C39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C8" i="1"/>
  <c r="C6" i="1"/>
  <c r="A5" i="1"/>
  <c r="C4" i="1"/>
  <c r="A4" i="1"/>
  <c r="A3" i="1"/>
  <c r="A2" i="1"/>
  <c r="C148" i="5" l="1"/>
  <c r="E148" i="6"/>
  <c r="E76" i="5"/>
  <c r="E84" i="1"/>
  <c r="E76" i="6"/>
  <c r="E310" i="6"/>
  <c r="E148" i="5"/>
  <c r="E310" i="5"/>
  <c r="C148" i="6"/>
  <c r="C235" i="1"/>
  <c r="E61" i="1"/>
  <c r="E55" i="1" s="1"/>
  <c r="C116" i="1"/>
  <c r="E294" i="1"/>
  <c r="C155" i="1"/>
  <c r="C84" i="1"/>
  <c r="C139" i="1"/>
  <c r="C168" i="1"/>
  <c r="E221" i="1"/>
  <c r="C221" i="1"/>
  <c r="E109" i="1"/>
  <c r="E50" i="1"/>
  <c r="F109" i="1"/>
  <c r="E139" i="1"/>
  <c r="E168" i="1"/>
  <c r="E284" i="1"/>
  <c r="E306" i="1"/>
  <c r="C109" i="1"/>
  <c r="E147" i="1"/>
  <c r="C147" i="1"/>
  <c r="E207" i="1"/>
  <c r="C207" i="1"/>
  <c r="C284" i="1"/>
  <c r="C50" i="1"/>
  <c r="C76" i="1"/>
  <c r="E68" i="1"/>
  <c r="D109" i="1"/>
  <c r="E116" i="1"/>
  <c r="E155" i="1"/>
  <c r="E235" i="1"/>
  <c r="C294" i="1"/>
  <c r="E310" i="1" l="1"/>
  <c r="E315" i="6"/>
  <c r="E315" i="5"/>
  <c r="C148" i="1"/>
  <c r="E76" i="1"/>
  <c r="E148" i="1"/>
  <c r="E315" i="1" l="1"/>
</calcChain>
</file>

<file path=xl/sharedStrings.xml><?xml version="1.0" encoding="utf-8"?>
<sst xmlns="http://schemas.openxmlformats.org/spreadsheetml/2006/main" count="7144" uniqueCount="494">
  <si>
    <t>SERVICIO DE SALUD</t>
  </si>
  <si>
    <t>IDENTIFICACION</t>
  </si>
  <si>
    <t>Mes de Facturación</t>
  </si>
  <si>
    <t>Año de Facturación</t>
  </si>
  <si>
    <t>REM0  -  FACTURACION  PAGO  POR  PRESTACIONES INSTITUCIONALES</t>
  </si>
  <si>
    <t>Establecimiento</t>
  </si>
  <si>
    <t>(P.P.I.)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</si>
  <si>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</si>
  <si>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</si>
  <si>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</si>
  <si>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</si>
  <si>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</si>
  <si>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</si>
  <si>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</si>
  <si>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</si>
  <si>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</si>
  <si>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</si>
  <si>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</si>
  <si>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</si>
  <si>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</si>
  <si>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</si>
  <si>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</si>
  <si>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</si>
  <si>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</si>
  <si>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</si>
  <si>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</si>
  <si>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</si>
  <si>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</si>
  <si>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</si>
  <si>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</si>
  <si>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</si>
  <si>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</si>
  <si>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</si>
  <si>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</si>
  <si>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</si>
  <si>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</si>
  <si>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</si>
  <si>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</si>
  <si>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</si>
  <si>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</si>
  <si>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</si>
  <si>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</si>
  <si>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</si>
  <si>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</si>
  <si>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</si>
  <si>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</si>
  <si>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</si>
  <si>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</si>
  <si>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</si>
  <si>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</si>
  <si>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</si>
  <si>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</si>
  <si>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</si>
  <si>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</si>
  <si>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</si>
  <si>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</si>
  <si>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</si>
  <si>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</si>
  <si>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</si>
  <si>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</si>
  <si>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</si>
  <si>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</si>
  <si>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</si>
  <si>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</si>
  <si>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</si>
  <si>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</si>
  <si>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</si>
  <si>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</si>
  <si>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</si>
  <si>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</si>
  <si>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</si>
  <si>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</si>
  <si>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</si>
  <si>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</si>
  <si>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</si>
  <si>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</si>
  <si>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</si>
  <si>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</si>
  <si>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</si>
  <si>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</si>
  <si>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</si>
  <si>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</si>
  <si>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</si>
  <si>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</si>
  <si>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</si>
  <si>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</si>
  <si>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</si>
  <si>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</si>
  <si>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</si>
  <si>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</si>
  <si>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</si>
  <si>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</si>
  <si>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</si>
  <si>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</si>
  <si>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</si>
  <si>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</si>
  <si>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</si>
  <si>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</si>
  <si>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</si>
  <si>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</si>
  <si>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</si>
  <si>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</si>
  <si>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</si>
  <si>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</si>
  <si>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</si>
  <si>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</si>
  <si>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</si>
  <si>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</si>
  <si>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</si>
  <si>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</si>
  <si>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</si>
  <si>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</si>
  <si>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</si>
  <si>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</si>
  <si>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</si>
  <si>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</si>
  <si>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</si>
  <si>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</si>
  <si>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</si>
  <si>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</si>
  <si>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</si>
  <si>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</si>
  <si>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</si>
  <si>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</si>
  <si>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</si>
  <si>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</si>
  <si>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</si>
  <si>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</si>
  <si>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</si>
  <si>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</si>
  <si>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</si>
  <si>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</si>
  <si>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</si>
  <si>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</si>
  <si>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</si>
  <si>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</si>
  <si>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</si>
  <si>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</si>
  <si>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</si>
  <si>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</si>
  <si>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</si>
  <si>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</si>
  <si>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</si>
  <si>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</si>
  <si>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</si>
  <si>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</si>
  <si>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</si>
  <si>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</si>
  <si>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</si>
  <si>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</si>
  <si>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</si>
  <si>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</si>
  <si>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</si>
  <si>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</si>
  <si>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</si>
  <si>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</si>
  <si>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</si>
  <si>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</si>
  <si>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</si>
  <si>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</si>
  <si>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</si>
  <si>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</si>
  <si>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</si>
  <si>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</si>
  <si>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</si>
  <si>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</si>
  <si>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</si>
  <si>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</si>
  <si>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</si>
  <si>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</si>
  <si>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</si>
  <si>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</si>
  <si>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</si>
  <si>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</si>
  <si>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</si>
  <si>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</si>
  <si>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</si>
  <si>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</si>
  <si>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</si>
  <si>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</si>
  <si>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</si>
  <si>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</si>
  <si>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</si>
  <si>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</si>
  <si>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</si>
  <si>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</si>
  <si>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</si>
  <si>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</si>
  <si>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</si>
  <si>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</si>
  <si>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</si>
  <si>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</si>
  <si>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</si>
  <si>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</si>
  <si>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</si>
  <si>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</si>
  <si>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</si>
  <si>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</si>
  <si>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</si>
  <si>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</si>
  <si>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</si>
  <si>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</si>
  <si>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</si>
  <si>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</si>
  <si>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</si>
  <si>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</si>
  <si>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</si>
  <si>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</si>
  <si>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</si>
  <si>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</si>
  <si>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</si>
  <si>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</si>
  <si>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</si>
  <si>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</si>
  <si>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</si>
  <si>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</si>
  <si>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</si>
  <si>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</si>
  <si>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</si>
  <si>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</si>
  <si>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</si>
  <si>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</si>
  <si>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</si>
  <si>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</si>
  <si>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</si>
  <si>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</si>
  <si>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</si>
  <si>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</si>
  <si>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</si>
  <si>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</si>
  <si>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</si>
  <si>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</si>
  <si>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</si>
  <si>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</si>
  <si>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</si>
  <si>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</si>
  <si>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</si>
  <si>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</si>
  <si>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</si>
  <si>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</si>
  <si>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</si>
  <si>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</si>
  <si>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</si>
  <si>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</si>
  <si>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</si>
  <si>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</si>
  <si>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</si>
  <si>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</si>
  <si>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</si>
  <si>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</si>
  <si>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</si>
  <si>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</si>
  <si>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</si>
  <si>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</si>
  <si>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</si>
  <si>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</si>
  <si>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</si>
  <si>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</si>
  <si>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</si>
  <si>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</si>
  <si>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</si>
  <si>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</si>
  <si>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</si>
  <si>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</si>
  <si>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</si>
  <si>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</si>
  <si>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</si>
  <si>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</si>
  <si>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</si>
  <si>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</si>
  <si>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</si>
  <si>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</si>
  <si>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</si>
  <si>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</si>
  <si>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</si>
  <si>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</si>
  <si>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</si>
  <si>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</si>
  <si>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</si>
  <si>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</si>
  <si>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</si>
  <si>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</si>
  <si>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</si>
  <si>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</si>
  <si>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</si>
  <si>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</si>
  <si>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</si>
  <si>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</si>
  <si>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</si>
  <si>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</si>
  <si>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</si>
  <si>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</si>
  <si>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</si>
  <si>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</si>
  <si>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</si>
  <si>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</si>
  <si>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</si>
  <si>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</si>
  <si>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</si>
  <si>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</si>
  <si>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</si>
  <si>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</si>
  <si>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</si>
  <si>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11-01-140</t>
  </si>
  <si>
    <t>Esclerosis Múltiple Remitente Recurrente,  Tratamiento médico farmacológico  Anual (incluye inmunomoduladores)</t>
  </si>
  <si>
    <t>11-01-141</t>
  </si>
  <si>
    <t>Esclerosis Múltiple Remitente Recurrente, Tratamiento rehabilitación</t>
  </si>
  <si>
    <t>11-01-142</t>
  </si>
  <si>
    <t>Esclerosis Múltiple Remitente Recurrente,  Tratamiento Brote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</si>
  <si>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</si>
  <si>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</si>
  <si>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</si>
  <si>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</si>
  <si>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</si>
  <si>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</si>
  <si>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</si>
  <si>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</si>
  <si>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</si>
  <si>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</si>
  <si>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</si>
  <si>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</si>
  <si>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</si>
  <si>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</si>
  <si>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</si>
  <si>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</si>
  <si>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</si>
  <si>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</si>
  <si>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</si>
  <si>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</si>
  <si>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</si>
  <si>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</si>
  <si>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</si>
  <si>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</si>
  <si>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</si>
  <si>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</si>
  <si>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</si>
  <si>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</si>
  <si>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</si>
  <si>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</si>
  <si>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</si>
  <si>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</si>
  <si>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</si>
  <si>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</si>
  <si>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</si>
  <si>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</si>
  <si>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</si>
  <si>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</si>
  <si>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</si>
  <si>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</si>
  <si>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</si>
  <si>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</si>
  <si>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</si>
  <si>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</si>
  <si>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</si>
  <si>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</si>
  <si>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</si>
  <si>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</si>
  <si>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</si>
  <si>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</si>
  <si>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</si>
  <si>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</si>
  <si>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</si>
  <si>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</si>
  <si>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</si>
  <si>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</si>
  <si>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</si>
  <si>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</si>
  <si>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</si>
  <si>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</si>
  <si>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</si>
  <si>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</si>
  <si>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</si>
  <si>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</si>
  <si>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</si>
  <si>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</si>
  <si>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</si>
  <si>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</si>
  <si>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</si>
  <si>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</si>
  <si>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</si>
  <si>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</si>
  <si>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</si>
  <si>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</si>
  <si>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</si>
  <si>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</si>
  <si>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</si>
  <si>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</si>
  <si>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</si>
  <si>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</si>
  <si>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</si>
  <si>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</si>
  <si>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</si>
  <si>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</si>
  <si>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</si>
  <si>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</si>
  <si>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</si>
  <si>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</si>
  <si>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</si>
  <si>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</si>
  <si>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</si>
  <si>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</si>
  <si>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</si>
  <si>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</si>
  <si>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</si>
  <si>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</si>
  <si>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</si>
  <si>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</si>
  <si>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</si>
  <si>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</si>
  <si>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</si>
  <si>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</si>
  <si>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</si>
  <si>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</si>
  <si>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</si>
  <si>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</si>
  <si>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</si>
  <si>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</si>
  <si>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</si>
  <si>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</si>
  <si>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</si>
  <si>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</si>
  <si>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</si>
  <si>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</si>
  <si>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</si>
  <si>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</si>
  <si>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</si>
  <si>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</si>
  <si>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</si>
  <si>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</si>
  <si>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</si>
  <si>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</si>
  <si>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</si>
  <si>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</si>
  <si>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</si>
  <si>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</si>
  <si>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</si>
  <si>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</si>
  <si>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</si>
  <si>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</si>
  <si>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</si>
  <si>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</si>
  <si>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</si>
  <si>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</si>
  <si>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</si>
  <si>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</si>
  <si>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</si>
  <si>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</si>
  <si>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</si>
  <si>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</si>
  <si>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</si>
  <si>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</si>
  <si>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</si>
  <si>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</si>
  <si>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</si>
  <si>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</si>
  <si>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</si>
  <si>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</si>
  <si>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</si>
  <si>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</si>
  <si>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</si>
  <si>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</si>
  <si>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</si>
  <si>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</si>
  <si>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</si>
  <si>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</si>
  <si>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</si>
  <si>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</si>
  <si>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</si>
  <si>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</si>
  <si>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</si>
  <si>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</si>
  <si>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</si>
  <si>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</si>
  <si>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</si>
  <si>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</si>
  <si>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</si>
  <si>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</si>
  <si>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>COMUNA: LINARES - ( 07401 )</t>
  </si>
  <si>
    <t>ESTABLECIMIENTO/ESTRATEGIA: HOSPITAL DE LINARES - ( 116108 )</t>
  </si>
  <si>
    <t>MES: JULIO - ( 07 )</t>
  </si>
  <si>
    <t>JULIO ( 07 )</t>
  </si>
  <si>
    <t>AÑO: 2015</t>
  </si>
  <si>
    <t>HOSPITAL DE LINARES ( 11610 )</t>
  </si>
  <si>
    <t xml:space="preserve">SRA. MARIA INES NUÑEZ GONZALEZ </t>
  </si>
  <si>
    <t>Jefe de Estadisticas</t>
  </si>
  <si>
    <t xml:space="preserve">DR. FRANCISCO MARTINEZ CAVALLA </t>
  </si>
  <si>
    <t xml:space="preserve">Director </t>
  </si>
  <si>
    <t>COMUNA: Linares - ( 07401 )</t>
  </si>
  <si>
    <t>ESTABLECIMIENTO/ESTRATEGIA: Hospital Presidente Carlos Ibáñez del Campo - ( 116108 )</t>
  </si>
  <si>
    <t>MES: OCTUBRE - ( 10 )</t>
  </si>
  <si>
    <t>OCTUBRE ( 10 )</t>
  </si>
  <si>
    <t>Hospital Presidente Carlos Ibáñez del Campo ( 11610 )</t>
  </si>
  <si>
    <t>Sra. María Inés Núñez González</t>
  </si>
  <si>
    <t>Dr. Francisco Martínez Cavalla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</si>
</sst>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Font="0" applyBorder="0" applyAlignment="0" applyProtection="0"/>
    <xf numFmtId="0" fontId="2" fillId="0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7" borderId="0" applyNumberFormat="0" applyBorder="0" applyAlignment="0" applyProtection="0"/>
    <xf numFmtId="0" fontId="12" fillId="19" borderId="65" applyNumberFormat="0" applyAlignment="0" applyProtection="0"/>
    <xf numFmtId="0" fontId="13" fillId="20" borderId="66" applyNumberFormat="0" applyAlignment="0" applyProtection="0"/>
    <xf numFmtId="0" fontId="14" fillId="0" borderId="67" applyNumberFormat="0" applyFill="0" applyAlignment="0" applyProtection="0"/>
    <xf numFmtId="0" fontId="15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6" fillId="10" borderId="65" applyNumberFormat="0" applyAlignment="0" applyProtection="0"/>
    <xf numFmtId="0" fontId="2" fillId="4" borderId="14" applyBorder="0">
      <protection locked="0"/>
    </xf>
    <xf numFmtId="0" fontId="2" fillId="4" borderId="14" applyBorder="0">
      <protection locked="0"/>
    </xf>
    <xf numFmtId="0" fontId="2" fillId="4" borderId="14" applyBorder="0">
      <protection locked="0"/>
    </xf>
    <xf numFmtId="0" fontId="2" fillId="4" borderId="1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6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25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9" fillId="0" borderId="0"/>
    <xf numFmtId="0" fontId="2" fillId="26" borderId="68" applyNumberFormat="0" applyFont="0" applyAlignment="0" applyProtection="0"/>
    <xf numFmtId="0" fontId="2" fillId="26" borderId="68" applyNumberFormat="0" applyFont="0" applyAlignment="0" applyProtection="0"/>
    <xf numFmtId="0" fontId="2" fillId="26" borderId="68" applyNumberFormat="0" applyFont="0" applyAlignment="0" applyProtection="0"/>
    <xf numFmtId="0" fontId="19" fillId="19" borderId="6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0" applyNumberFormat="0" applyFill="0" applyAlignment="0" applyProtection="0"/>
    <xf numFmtId="0" fontId="24" fillId="0" borderId="71" applyNumberFormat="0" applyFill="0" applyAlignment="0" applyProtection="0"/>
    <xf numFmtId="0" fontId="15" fillId="0" borderId="72" applyNumberFormat="0" applyFill="0" applyAlignment="0" applyProtection="0"/>
    <xf numFmtId="0" fontId="25" fillId="0" borderId="73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75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quotePrefix="1" applyNumberFormat="1" applyFont="1" applyFill="1" applyAlignment="1" applyProtection="1">
      <alignment horizontal="center"/>
    </xf>
    <xf numFmtId="0" fontId="6" fillId="0" borderId="0" xfId="2" applyNumberFormat="1" applyFont="1" applyFill="1" applyAlignment="1" applyProtection="1"/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/>
    <xf numFmtId="0" fontId="7" fillId="0" borderId="0" xfId="2" applyNumberFormat="1" applyFont="1" applyFill="1" applyAlignment="1" applyProtection="1">
      <alignment horizontal="center"/>
    </xf>
    <xf numFmtId="0" fontId="6" fillId="0" borderId="0" xfId="2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4" fillId="0" borderId="16" xfId="2" quotePrefix="1" applyNumberFormat="1" applyFont="1" applyFill="1" applyBorder="1" applyAlignment="1" applyProtection="1">
      <alignment horizontal="center"/>
    </xf>
    <xf numFmtId="0" fontId="4" fillId="0" borderId="17" xfId="2" quotePrefix="1" applyNumberFormat="1" applyFont="1" applyFill="1" applyBorder="1" applyAlignment="1" applyProtection="1">
      <alignment horizontal="left"/>
    </xf>
    <xf numFmtId="0" fontId="4" fillId="0" borderId="18" xfId="2" applyNumberFormat="1" applyFont="1" applyFill="1" applyBorder="1" applyAlignment="1" applyProtection="1"/>
    <xf numFmtId="164" fontId="4" fillId="0" borderId="9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center"/>
    </xf>
    <xf numFmtId="0" fontId="4" fillId="0" borderId="19" xfId="2" quotePrefix="1" applyNumberFormat="1" applyFont="1" applyFill="1" applyBorder="1" applyAlignment="1" applyProtection="1">
      <alignment horizontal="center"/>
    </xf>
    <xf numFmtId="0" fontId="4" fillId="0" borderId="20" xfId="2" quotePrefix="1" applyNumberFormat="1" applyFont="1" applyFill="1" applyBorder="1" applyAlignment="1" applyProtection="1">
      <alignment horizontal="left"/>
    </xf>
    <xf numFmtId="164" fontId="4" fillId="0" borderId="21" xfId="1" applyNumberFormat="1" applyFont="1" applyFill="1" applyBorder="1" applyAlignment="1" applyProtection="1">
      <alignment horizontal="right"/>
    </xf>
    <xf numFmtId="164" fontId="4" fillId="0" borderId="22" xfId="1" applyNumberFormat="1" applyFont="1" applyFill="1" applyBorder="1" applyAlignment="1" applyProtection="1">
      <alignment horizontal="center"/>
    </xf>
    <xf numFmtId="0" fontId="4" fillId="0" borderId="20" xfId="2" quotePrefix="1" applyNumberFormat="1" applyFont="1" applyFill="1" applyBorder="1" applyAlignment="1" applyProtection="1">
      <alignment vertical="center" wrapText="1"/>
    </xf>
    <xf numFmtId="0" fontId="4" fillId="0" borderId="20" xfId="2" applyNumberFormat="1" applyFont="1" applyFill="1" applyBorder="1" applyAlignment="1" applyProtection="1">
      <alignment horizontal="left"/>
    </xf>
    <xf numFmtId="0" fontId="4" fillId="0" borderId="23" xfId="2" quotePrefix="1" applyNumberFormat="1" applyFont="1" applyFill="1" applyBorder="1" applyAlignment="1" applyProtection="1">
      <alignment horizontal="center"/>
    </xf>
    <xf numFmtId="0" fontId="4" fillId="0" borderId="24" xfId="2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/>
    <xf numFmtId="164" fontId="4" fillId="0" borderId="25" xfId="1" applyNumberFormat="1" applyFont="1" applyFill="1" applyBorder="1" applyAlignment="1" applyProtection="1">
      <alignment horizontal="right"/>
    </xf>
    <xf numFmtId="164" fontId="4" fillId="0" borderId="26" xfId="1" applyNumberFormat="1" applyFont="1" applyFill="1" applyBorder="1" applyAlignment="1" applyProtection="1">
      <alignment horizontal="center"/>
    </xf>
    <xf numFmtId="0" fontId="4" fillId="0" borderId="1" xfId="2" applyNumberFormat="1" applyFont="1" applyFill="1" applyBorder="1" applyAlignment="1" applyProtection="1"/>
    <xf numFmtId="0" fontId="4" fillId="0" borderId="20" xfId="2" applyNumberFormat="1" applyFont="1" applyFill="1" applyBorder="1" applyAlignment="1" applyProtection="1"/>
    <xf numFmtId="0" fontId="4" fillId="0" borderId="24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>
      <alignment horizontal="left"/>
    </xf>
    <xf numFmtId="164" fontId="4" fillId="0" borderId="2" xfId="1" applyNumberFormat="1" applyFont="1" applyFill="1" applyBorder="1" applyAlignment="1" applyProtection="1">
      <alignment horizontal="right"/>
    </xf>
    <xf numFmtId="164" fontId="4" fillId="0" borderId="3" xfId="1" applyNumberFormat="1" applyFont="1" applyFill="1" applyBorder="1" applyAlignment="1" applyProtection="1">
      <alignment horizontal="center"/>
    </xf>
    <xf numFmtId="0" fontId="4" fillId="0" borderId="28" xfId="2" applyNumberFormat="1" applyFont="1" applyFill="1" applyBorder="1" applyAlignment="1" applyProtection="1">
      <alignment horizontal="left"/>
    </xf>
    <xf numFmtId="164" fontId="4" fillId="0" borderId="5" xfId="1" applyNumberFormat="1" applyFont="1" applyFill="1" applyBorder="1" applyAlignment="1" applyProtection="1">
      <alignment horizontal="right"/>
    </xf>
    <xf numFmtId="164" fontId="4" fillId="0" borderId="6" xfId="1" applyNumberFormat="1" applyFont="1" applyFill="1" applyBorder="1" applyAlignment="1" applyProtection="1">
      <alignment horizontal="center"/>
    </xf>
    <xf numFmtId="0" fontId="4" fillId="0" borderId="27" xfId="2" quotePrefix="1" applyNumberFormat="1" applyFont="1" applyFill="1" applyBorder="1" applyAlignment="1" applyProtection="1">
      <alignment horizontal="left"/>
    </xf>
    <xf numFmtId="0" fontId="4" fillId="0" borderId="28" xfId="2" quotePrefix="1" applyNumberFormat="1" applyFont="1" applyFill="1" applyBorder="1" applyAlignment="1" applyProtection="1">
      <alignment horizontal="left"/>
    </xf>
    <xf numFmtId="0" fontId="5" fillId="0" borderId="29" xfId="2" applyNumberFormat="1" applyFont="1" applyFill="1" applyBorder="1" applyAlignment="1" applyProtection="1"/>
    <xf numFmtId="0" fontId="5" fillId="0" borderId="30" xfId="2" applyNumberFormat="1" applyFont="1" applyFill="1" applyBorder="1" applyAlignment="1" applyProtection="1"/>
    <xf numFmtId="0" fontId="5" fillId="0" borderId="31" xfId="3" applyNumberFormat="1" applyFont="1" applyFill="1" applyBorder="1" applyAlignment="1" applyProtection="1">
      <alignment horizontal="center"/>
    </xf>
    <xf numFmtId="164" fontId="5" fillId="0" borderId="32" xfId="1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/>
    <xf numFmtId="0" fontId="5" fillId="2" borderId="15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2" xfId="2" applyNumberFormat="1" applyFont="1" applyFill="1" applyBorder="1" applyAlignment="1" applyProtection="1">
      <alignment horizontal="left"/>
    </xf>
    <xf numFmtId="0" fontId="5" fillId="0" borderId="33" xfId="2" applyNumberFormat="1" applyFont="1" applyFill="1" applyBorder="1" applyAlignment="1" applyProtection="1"/>
    <xf numFmtId="0" fontId="5" fillId="2" borderId="15" xfId="2" applyNumberFormat="1" applyFont="1" applyFill="1" applyBorder="1" applyAlignment="1" applyProtection="1"/>
    <xf numFmtId="164" fontId="5" fillId="0" borderId="13" xfId="2" applyNumberFormat="1" applyFont="1" applyFill="1" applyBorder="1" applyAlignment="1" applyProtection="1"/>
    <xf numFmtId="0" fontId="4" fillId="0" borderId="34" xfId="2" quotePrefix="1" applyNumberFormat="1" applyFont="1" applyFill="1" applyBorder="1" applyAlignment="1" applyProtection="1">
      <alignment horizontal="center"/>
    </xf>
    <xf numFmtId="0" fontId="4" fillId="0" borderId="8" xfId="2" applyNumberFormat="1" applyFont="1" applyFill="1" applyBorder="1" applyAlignment="1" applyProtection="1"/>
    <xf numFmtId="0" fontId="4" fillId="2" borderId="9" xfId="2" applyNumberFormat="1" applyFont="1" applyFill="1" applyBorder="1" applyAlignment="1" applyProtection="1"/>
    <xf numFmtId="164" fontId="4" fillId="0" borderId="35" xfId="1" applyNumberFormat="1" applyFont="1" applyFill="1" applyBorder="1" applyAlignment="1" applyProtection="1"/>
    <xf numFmtId="0" fontId="4" fillId="2" borderId="21" xfId="2" applyNumberFormat="1" applyFont="1" applyFill="1" applyBorder="1" applyAlignment="1" applyProtection="1"/>
    <xf numFmtId="164" fontId="4" fillId="0" borderId="36" xfId="1" applyNumberFormat="1" applyFont="1" applyFill="1" applyBorder="1" applyAlignment="1" applyProtection="1"/>
    <xf numFmtId="0" fontId="4" fillId="0" borderId="37" xfId="2" quotePrefix="1" applyNumberFormat="1" applyFont="1" applyFill="1" applyBorder="1" applyAlignment="1" applyProtection="1">
      <alignment horizontal="center"/>
    </xf>
    <xf numFmtId="0" fontId="4" fillId="0" borderId="38" xfId="2" applyNumberFormat="1" applyFont="1" applyFill="1" applyBorder="1" applyAlignment="1" applyProtection="1"/>
    <xf numFmtId="0" fontId="4" fillId="2" borderId="25" xfId="2" applyNumberFormat="1" applyFont="1" applyFill="1" applyBorder="1" applyAlignment="1" applyProtection="1"/>
    <xf numFmtId="164" fontId="4" fillId="0" borderId="39" xfId="1" applyNumberFormat="1" applyFont="1" applyFill="1" applyBorder="1" applyAlignment="1" applyProtection="1"/>
    <xf numFmtId="0" fontId="4" fillId="0" borderId="40" xfId="2" applyNumberFormat="1" applyFont="1" applyFill="1" applyBorder="1" applyAlignment="1" applyProtection="1">
      <alignment horizontal="left"/>
    </xf>
    <xf numFmtId="0" fontId="4" fillId="0" borderId="41" xfId="2" applyNumberFormat="1" applyFont="1" applyFill="1" applyBorder="1" applyAlignment="1" applyProtection="1"/>
    <xf numFmtId="0" fontId="4" fillId="2" borderId="42" xfId="2" applyNumberFormat="1" applyFont="1" applyFill="1" applyBorder="1" applyAlignment="1" applyProtection="1"/>
    <xf numFmtId="164" fontId="4" fillId="0" borderId="43" xfId="1" applyNumberFormat="1" applyFont="1" applyFill="1" applyBorder="1" applyAlignment="1" applyProtection="1"/>
    <xf numFmtId="0" fontId="4" fillId="2" borderId="19" xfId="2" applyNumberFormat="1" applyFont="1" applyFill="1" applyBorder="1" applyAlignment="1" applyProtection="1">
      <alignment horizontal="center"/>
    </xf>
    <xf numFmtId="0" fontId="4" fillId="2" borderId="2" xfId="2" applyNumberFormat="1" applyFont="1" applyFill="1" applyBorder="1" applyAlignment="1" applyProtection="1"/>
    <xf numFmtId="164" fontId="4" fillId="0" borderId="44" xfId="1" applyNumberFormat="1" applyFont="1" applyFill="1" applyBorder="1" applyAlignment="1" applyProtection="1"/>
    <xf numFmtId="0" fontId="4" fillId="2" borderId="23" xfId="2" applyNumberFormat="1" applyFont="1" applyFill="1" applyBorder="1" applyAlignment="1" applyProtection="1">
      <alignment horizontal="center"/>
    </xf>
    <xf numFmtId="0" fontId="4" fillId="2" borderId="5" xfId="2" applyNumberFormat="1" applyFont="1" applyFill="1" applyBorder="1" applyAlignment="1" applyProtection="1"/>
    <xf numFmtId="164" fontId="4" fillId="0" borderId="45" xfId="1" applyNumberFormat="1" applyFont="1" applyFill="1" applyBorder="1" applyAlignment="1" applyProtection="1"/>
    <xf numFmtId="0" fontId="4" fillId="0" borderId="17" xfId="2" applyNumberFormat="1" applyFont="1" applyFill="1" applyBorder="1" applyAlignment="1" applyProtection="1">
      <alignment horizontal="left"/>
    </xf>
    <xf numFmtId="0" fontId="5" fillId="0" borderId="16" xfId="2" quotePrefix="1" applyNumberFormat="1" applyFont="1" applyFill="1" applyBorder="1" applyAlignment="1" applyProtection="1">
      <alignment horizontal="center"/>
    </xf>
    <xf numFmtId="0" fontId="5" fillId="0" borderId="27" xfId="2" applyNumberFormat="1" applyFont="1" applyFill="1" applyBorder="1" applyAlignment="1" applyProtection="1">
      <alignment horizontal="left"/>
    </xf>
    <xf numFmtId="0" fontId="5" fillId="0" borderId="1" xfId="2" applyNumberFormat="1" applyFont="1" applyFill="1" applyBorder="1" applyAlignment="1" applyProtection="1"/>
    <xf numFmtId="0" fontId="5" fillId="2" borderId="2" xfId="2" applyNumberFormat="1" applyFont="1" applyFill="1" applyBorder="1" applyAlignment="1" applyProtection="1"/>
    <xf numFmtId="164" fontId="5" fillId="0" borderId="44" xfId="1" applyNumberFormat="1" applyFont="1" applyFill="1" applyBorder="1" applyAlignment="1" applyProtection="1"/>
    <xf numFmtId="0" fontId="4" fillId="2" borderId="19" xfId="2" quotePrefix="1" applyNumberFormat="1" applyFont="1" applyFill="1" applyBorder="1" applyAlignment="1" applyProtection="1">
      <alignment horizontal="center"/>
    </xf>
    <xf numFmtId="0" fontId="4" fillId="0" borderId="46" xfId="2" quotePrefix="1" applyNumberFormat="1" applyFont="1" applyFill="1" applyBorder="1" applyAlignment="1" applyProtection="1">
      <alignment horizontal="center"/>
    </xf>
    <xf numFmtId="0" fontId="4" fillId="0" borderId="47" xfId="2" applyNumberFormat="1" applyFont="1" applyFill="1" applyBorder="1" applyAlignment="1" applyProtection="1">
      <alignment horizontal="left"/>
    </xf>
    <xf numFmtId="0" fontId="4" fillId="0" borderId="29" xfId="2" applyNumberFormat="1" applyFont="1" applyFill="1" applyBorder="1" applyAlignment="1" applyProtection="1"/>
    <xf numFmtId="0" fontId="4" fillId="2" borderId="31" xfId="2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0" fontId="5" fillId="0" borderId="49" xfId="2" quotePrefix="1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50" xfId="2" applyNumberFormat="1" applyFont="1" applyFill="1" applyBorder="1" applyAlignment="1" applyProtection="1"/>
    <xf numFmtId="0" fontId="5" fillId="2" borderId="51" xfId="2" applyNumberFormat="1" applyFont="1" applyFill="1" applyBorder="1" applyAlignment="1" applyProtection="1"/>
    <xf numFmtId="164" fontId="5" fillId="0" borderId="7" xfId="1" applyNumberFormat="1" applyFont="1" applyFill="1" applyBorder="1" applyAlignment="1" applyProtection="1"/>
    <xf numFmtId="0" fontId="5" fillId="0" borderId="14" xfId="2" applyNumberFormat="1" applyFont="1" applyFill="1" applyBorder="1" applyAlignment="1" applyProtection="1"/>
    <xf numFmtId="0" fontId="5" fillId="0" borderId="12" xfId="2" quotePrefix="1" applyNumberFormat="1" applyFont="1" applyFill="1" applyBorder="1" applyAlignment="1" applyProtection="1">
      <alignment horizontal="left"/>
    </xf>
    <xf numFmtId="164" fontId="5" fillId="0" borderId="13" xfId="1" applyNumberFormat="1" applyFont="1" applyFill="1" applyBorder="1" applyAlignment="1" applyProtection="1"/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33" xfId="2" applyNumberFormat="1" applyFont="1" applyFill="1" applyBorder="1" applyAlignment="1" applyProtection="1">
      <alignment horizontal="center" vertical="center" wrapText="1"/>
    </xf>
    <xf numFmtId="0" fontId="5" fillId="0" borderId="52" xfId="2" applyNumberFormat="1" applyFont="1" applyFill="1" applyBorder="1" applyAlignment="1" applyProtection="1">
      <alignment horizontal="center" vertical="center" wrapText="1"/>
    </xf>
    <xf numFmtId="0" fontId="5" fillId="0" borderId="34" xfId="2" quotePrefix="1" applyNumberFormat="1" applyFont="1" applyFill="1" applyBorder="1" applyAlignment="1" applyProtection="1">
      <alignment horizontal="center"/>
    </xf>
    <xf numFmtId="164" fontId="4" fillId="0" borderId="10" xfId="1" applyNumberFormat="1" applyFont="1" applyFill="1" applyBorder="1" applyAlignment="1" applyProtection="1"/>
    <xf numFmtId="0" fontId="4" fillId="0" borderId="19" xfId="2" applyNumberFormat="1" applyFont="1" applyFill="1" applyBorder="1" applyAlignment="1" applyProtection="1">
      <alignment horizontal="center"/>
    </xf>
    <xf numFmtId="164" fontId="4" fillId="0" borderId="22" xfId="1" applyNumberFormat="1" applyFont="1" applyFill="1" applyBorder="1" applyAlignment="1" applyProtection="1"/>
    <xf numFmtId="164" fontId="4" fillId="0" borderId="26" xfId="1" applyNumberFormat="1" applyFont="1" applyFill="1" applyBorder="1" applyAlignment="1" applyProtection="1"/>
    <xf numFmtId="164" fontId="5" fillId="0" borderId="52" xfId="1" applyNumberFormat="1" applyFont="1" applyFill="1" applyBorder="1" applyAlignment="1" applyProtection="1"/>
    <xf numFmtId="0" fontId="5" fillId="0" borderId="54" xfId="2" applyNumberFormat="1" applyFont="1" applyFill="1" applyBorder="1" applyAlignment="1" applyProtection="1">
      <alignment horizontal="center" vertical="center" wrapText="1"/>
    </xf>
    <xf numFmtId="166" fontId="4" fillId="0" borderId="1" xfId="2" applyNumberFormat="1" applyFont="1" applyFill="1" applyBorder="1" applyAlignment="1" applyProtection="1">
      <alignment horizontal="right"/>
    </xf>
    <xf numFmtId="166" fontId="4" fillId="0" borderId="2" xfId="2" applyNumberFormat="1" applyFont="1" applyFill="1" applyBorder="1" applyAlignment="1" applyProtection="1">
      <alignment horizontal="right"/>
    </xf>
    <xf numFmtId="166" fontId="4" fillId="0" borderId="44" xfId="2" applyNumberFormat="1" applyFont="1" applyFill="1" applyBorder="1" applyAlignment="1" applyProtection="1">
      <alignment horizontal="right"/>
    </xf>
    <xf numFmtId="164" fontId="4" fillId="0" borderId="44" xfId="1" applyNumberFormat="1" applyFont="1" applyFill="1" applyBorder="1" applyAlignment="1" applyProtection="1">
      <alignment horizontal="right"/>
    </xf>
    <xf numFmtId="166" fontId="4" fillId="0" borderId="18" xfId="2" applyNumberFormat="1" applyFont="1" applyFill="1" applyBorder="1" applyAlignment="1" applyProtection="1">
      <alignment horizontal="right"/>
    </xf>
    <xf numFmtId="166" fontId="4" fillId="0" borderId="21" xfId="2" applyNumberFormat="1" applyFont="1" applyFill="1" applyBorder="1" applyAlignment="1" applyProtection="1">
      <alignment horizontal="right"/>
    </xf>
    <xf numFmtId="166" fontId="4" fillId="0" borderId="36" xfId="2" applyNumberFormat="1" applyFont="1" applyFill="1" applyBorder="1" applyAlignment="1" applyProtection="1">
      <alignment horizontal="right"/>
    </xf>
    <xf numFmtId="164" fontId="4" fillId="0" borderId="36" xfId="1" applyNumberFormat="1" applyFont="1" applyFill="1" applyBorder="1" applyAlignment="1" applyProtection="1">
      <alignment horizontal="right"/>
    </xf>
    <xf numFmtId="166" fontId="4" fillId="0" borderId="38" xfId="2" applyNumberFormat="1" applyFont="1" applyFill="1" applyBorder="1" applyAlignment="1" applyProtection="1">
      <alignment horizontal="right"/>
    </xf>
    <xf numFmtId="166" fontId="4" fillId="0" borderId="25" xfId="2" applyNumberFormat="1" applyFont="1" applyFill="1" applyBorder="1" applyAlignment="1" applyProtection="1">
      <alignment horizontal="right"/>
    </xf>
    <xf numFmtId="166" fontId="4" fillId="0" borderId="39" xfId="2" applyNumberFormat="1" applyFont="1" applyFill="1" applyBorder="1" applyAlignment="1" applyProtection="1">
      <alignment horizontal="right"/>
    </xf>
    <xf numFmtId="164" fontId="4" fillId="0" borderId="39" xfId="1" applyNumberFormat="1" applyFont="1" applyFill="1" applyBorder="1" applyAlignment="1" applyProtection="1">
      <alignment horizontal="right"/>
    </xf>
    <xf numFmtId="166" fontId="4" fillId="0" borderId="4" xfId="2" applyNumberFormat="1" applyFont="1" applyFill="1" applyBorder="1" applyAlignment="1" applyProtection="1">
      <alignment horizontal="right"/>
    </xf>
    <xf numFmtId="166" fontId="4" fillId="0" borderId="5" xfId="2" applyNumberFormat="1" applyFont="1" applyFill="1" applyBorder="1" applyAlignment="1" applyProtection="1">
      <alignment horizontal="right"/>
    </xf>
    <xf numFmtId="166" fontId="4" fillId="0" borderId="45" xfId="2" applyNumberFormat="1" applyFont="1" applyFill="1" applyBorder="1" applyAlignment="1" applyProtection="1">
      <alignment horizontal="right"/>
    </xf>
    <xf numFmtId="164" fontId="4" fillId="0" borderId="45" xfId="1" applyNumberFormat="1" applyFont="1" applyFill="1" applyBorder="1" applyAlignment="1" applyProtection="1">
      <alignment horizontal="right"/>
    </xf>
    <xf numFmtId="166" fontId="4" fillId="0" borderId="8" xfId="2" applyNumberFormat="1" applyFont="1" applyFill="1" applyBorder="1" applyAlignment="1" applyProtection="1">
      <alignment horizontal="right"/>
    </xf>
    <xf numFmtId="166" fontId="4" fillId="0" borderId="9" xfId="2" applyNumberFormat="1" applyFont="1" applyFill="1" applyBorder="1" applyAlignment="1" applyProtection="1">
      <alignment horizontal="right"/>
    </xf>
    <xf numFmtId="166" fontId="4" fillId="0" borderId="35" xfId="2" applyNumberFormat="1" applyFont="1" applyFill="1" applyBorder="1" applyAlignment="1" applyProtection="1">
      <alignment horizontal="right"/>
    </xf>
    <xf numFmtId="164" fontId="4" fillId="0" borderId="35" xfId="1" applyNumberFormat="1" applyFont="1" applyFill="1" applyBorder="1" applyAlignment="1" applyProtection="1">
      <alignment horizontal="right"/>
    </xf>
    <xf numFmtId="0" fontId="4" fillId="0" borderId="23" xfId="2" applyNumberFormat="1" applyFont="1" applyFill="1" applyBorder="1" applyAlignment="1" applyProtection="1">
      <alignment horizontal="center"/>
    </xf>
    <xf numFmtId="0" fontId="5" fillId="0" borderId="46" xfId="2" applyNumberFormat="1" applyFont="1" applyFill="1" applyBorder="1" applyAlignment="1" applyProtection="1"/>
    <xf numFmtId="0" fontId="5" fillId="0" borderId="47" xfId="2" quotePrefix="1" applyNumberFormat="1" applyFont="1" applyFill="1" applyBorder="1" applyAlignment="1" applyProtection="1">
      <alignment horizontal="left"/>
    </xf>
    <xf numFmtId="166" fontId="5" fillId="0" borderId="29" xfId="2" applyNumberFormat="1" applyFont="1" applyFill="1" applyBorder="1" applyAlignment="1" applyProtection="1">
      <alignment horizontal="right"/>
    </xf>
    <xf numFmtId="166" fontId="5" fillId="0" borderId="31" xfId="2" applyNumberFormat="1" applyFont="1" applyFill="1" applyBorder="1" applyAlignment="1" applyProtection="1"/>
    <xf numFmtId="166" fontId="5" fillId="0" borderId="48" xfId="2" applyNumberFormat="1" applyFont="1" applyFill="1" applyBorder="1" applyAlignment="1" applyProtection="1"/>
    <xf numFmtId="164" fontId="5" fillId="0" borderId="48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/>
    <xf numFmtId="164" fontId="4" fillId="0" borderId="3" xfId="1" applyNumberFormat="1" applyFont="1" applyFill="1" applyBorder="1" applyAlignment="1" applyProtection="1"/>
    <xf numFmtId="0" fontId="4" fillId="0" borderId="24" xfId="2" quotePrefix="1" applyNumberFormat="1" applyFont="1" applyFill="1" applyBorder="1" applyAlignment="1" applyProtection="1">
      <alignment horizontal="left"/>
    </xf>
    <xf numFmtId="164" fontId="4" fillId="0" borderId="25" xfId="1" applyNumberFormat="1" applyFont="1" applyFill="1" applyBorder="1" applyAlignment="1" applyProtection="1"/>
    <xf numFmtId="0" fontId="5" fillId="0" borderId="54" xfId="2" quotePrefix="1" applyNumberFormat="1" applyFont="1" applyFill="1" applyBorder="1" applyAlignment="1" applyProtection="1">
      <alignment horizontal="left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>
      <alignment horizontal="left"/>
    </xf>
    <xf numFmtId="164" fontId="5" fillId="0" borderId="14" xfId="1" applyNumberFormat="1" applyFont="1" applyFill="1" applyBorder="1" applyAlignment="1" applyProtection="1">
      <alignment horizontal="center"/>
    </xf>
    <xf numFmtId="164" fontId="4" fillId="0" borderId="3" xfId="1" applyNumberFormat="1" applyFont="1" applyFill="1" applyBorder="1" applyAlignment="1" applyProtection="1">
      <alignment horizontal="right"/>
    </xf>
    <xf numFmtId="164" fontId="4" fillId="0" borderId="22" xfId="1" applyNumberFormat="1" applyFont="1" applyFill="1" applyBorder="1" applyAlignment="1" applyProtection="1">
      <alignment horizontal="right"/>
    </xf>
    <xf numFmtId="0" fontId="5" fillId="0" borderId="28" xfId="2" quotePrefix="1" applyNumberFormat="1" applyFont="1" applyFill="1" applyBorder="1" applyAlignment="1" applyProtection="1">
      <alignment horizontal="left"/>
    </xf>
    <xf numFmtId="0" fontId="5" fillId="0" borderId="4" xfId="2" applyNumberFormat="1" applyFont="1" applyFill="1" applyBorder="1" applyAlignment="1" applyProtection="1"/>
    <xf numFmtId="164" fontId="5" fillId="2" borderId="5" xfId="1" applyNumberFormat="1" applyFont="1" applyFill="1" applyBorder="1" applyAlignment="1" applyProtection="1">
      <alignment horizontal="right"/>
    </xf>
    <xf numFmtId="164" fontId="5" fillId="0" borderId="6" xfId="1" applyNumberFormat="1" applyFont="1" applyFill="1" applyBorder="1" applyAlignment="1" applyProtection="1">
      <alignment horizontal="right"/>
    </xf>
    <xf numFmtId="164" fontId="4" fillId="2" borderId="31" xfId="1" applyNumberFormat="1" applyFont="1" applyFill="1" applyBorder="1" applyAlignment="1" applyProtection="1">
      <alignment horizontal="right"/>
    </xf>
    <xf numFmtId="164" fontId="5" fillId="0" borderId="32" xfId="1" applyNumberFormat="1" applyFont="1" applyFill="1" applyBorder="1" applyAlignment="1" applyProtection="1">
      <alignment horizontal="right"/>
    </xf>
    <xf numFmtId="164" fontId="4" fillId="0" borderId="6" xfId="1" applyNumberFormat="1" applyFont="1" applyFill="1" applyBorder="1" applyAlignment="1" applyProtection="1">
      <alignment horizontal="right"/>
    </xf>
    <xf numFmtId="0" fontId="4" fillId="0" borderId="1" xfId="2" applyNumberFormat="1" applyFont="1" applyFill="1" applyBorder="1" applyAlignment="1" applyProtection="1">
      <alignment horizontal="right"/>
    </xf>
    <xf numFmtId="0" fontId="4" fillId="0" borderId="18" xfId="2" applyNumberFormat="1" applyFont="1" applyFill="1" applyBorder="1" applyAlignment="1" applyProtection="1">
      <alignment horizontal="right"/>
    </xf>
    <xf numFmtId="0" fontId="4" fillId="0" borderId="28" xfId="2" applyNumberFormat="1" applyFont="1" applyFill="1" applyBorder="1" applyAlignment="1" applyProtection="1"/>
    <xf numFmtId="0" fontId="4" fillId="0" borderId="4" xfId="2" applyNumberFormat="1" applyFont="1" applyFill="1" applyBorder="1" applyAlignment="1" applyProtection="1">
      <alignment horizontal="right"/>
    </xf>
    <xf numFmtId="0" fontId="5" fillId="0" borderId="55" xfId="2" applyNumberFormat="1" applyFont="1" applyFill="1" applyBorder="1" applyAlignment="1" applyProtection="1"/>
    <xf numFmtId="0" fontId="5" fillId="0" borderId="55" xfId="2" quotePrefix="1" applyNumberFormat="1" applyFont="1" applyFill="1" applyBorder="1" applyAlignment="1" applyProtection="1">
      <alignment horizontal="left"/>
    </xf>
    <xf numFmtId="0" fontId="5" fillId="0" borderId="55" xfId="2" applyNumberFormat="1" applyFont="1" applyFill="1" applyBorder="1" applyAlignment="1" applyProtection="1">
      <alignment horizontal="right"/>
    </xf>
    <xf numFmtId="164" fontId="4" fillId="2" borderId="55" xfId="1" applyNumberFormat="1" applyFont="1" applyFill="1" applyBorder="1" applyAlignment="1" applyProtection="1">
      <alignment horizontal="right"/>
    </xf>
    <xf numFmtId="164" fontId="5" fillId="0" borderId="46" xfId="1" applyNumberFormat="1" applyFont="1" applyFill="1" applyBorder="1" applyAlignment="1" applyProtection="1">
      <alignment horizontal="right"/>
    </xf>
    <xf numFmtId="0" fontId="4" fillId="0" borderId="16" xfId="2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>
      <alignment wrapText="1"/>
    </xf>
    <xf numFmtId="0" fontId="4" fillId="0" borderId="20" xfId="2" applyNumberFormat="1" applyFont="1" applyFill="1" applyBorder="1" applyAlignment="1" applyProtection="1">
      <alignment horizontal="left" wrapText="1"/>
    </xf>
    <xf numFmtId="0" fontId="4" fillId="0" borderId="20" xfId="2" applyNumberFormat="1" applyFont="1" applyFill="1" applyBorder="1" applyAlignment="1" applyProtection="1">
      <alignment wrapText="1"/>
    </xf>
    <xf numFmtId="0" fontId="4" fillId="0" borderId="20" xfId="2" quotePrefix="1" applyNumberFormat="1" applyFont="1" applyFill="1" applyBorder="1" applyAlignment="1" applyProtection="1">
      <alignment horizontal="left" wrapText="1"/>
    </xf>
    <xf numFmtId="0" fontId="4" fillId="0" borderId="56" xfId="2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>
      <alignment horizontal="left" wrapText="1"/>
    </xf>
    <xf numFmtId="0" fontId="4" fillId="0" borderId="57" xfId="2" applyNumberFormat="1" applyFont="1" applyFill="1" applyBorder="1" applyAlignment="1" applyProtection="1"/>
    <xf numFmtId="0" fontId="4" fillId="0" borderId="58" xfId="2" applyNumberFormat="1" applyFont="1" applyFill="1" applyBorder="1" applyAlignment="1" applyProtection="1">
      <alignment horizontal="center"/>
    </xf>
    <xf numFmtId="0" fontId="4" fillId="0" borderId="23" xfId="2" applyNumberFormat="1" applyFont="1" applyFill="1" applyBorder="1" applyAlignment="1" applyProtection="1">
      <alignment horizontal="left" wrapText="1"/>
    </xf>
    <xf numFmtId="0" fontId="4" fillId="0" borderId="59" xfId="2" applyNumberFormat="1" applyFont="1" applyFill="1" applyBorder="1" applyAlignment="1" applyProtection="1"/>
    <xf numFmtId="164" fontId="4" fillId="2" borderId="21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</xf>
    <xf numFmtId="0" fontId="4" fillId="0" borderId="44" xfId="2" applyNumberFormat="1" applyFont="1" applyFill="1" applyBorder="1" applyAlignment="1" applyProtection="1"/>
    <xf numFmtId="164" fontId="4" fillId="3" borderId="44" xfId="1" applyNumberFormat="1" applyFont="1" applyFill="1" applyBorder="1" applyAlignment="1" applyProtection="1">
      <protection locked="0"/>
    </xf>
    <xf numFmtId="0" fontId="4" fillId="0" borderId="0" xfId="2" applyNumberFormat="1" applyFont="1" applyFill="1" applyAlignment="1" applyProtection="1">
      <alignment horizontal="right"/>
    </xf>
    <xf numFmtId="0" fontId="4" fillId="0" borderId="23" xfId="2" quotePrefix="1" applyNumberFormat="1" applyFont="1" applyFill="1" applyBorder="1" applyAlignment="1" applyProtection="1"/>
    <xf numFmtId="0" fontId="4" fillId="0" borderId="45" xfId="2" applyNumberFormat="1" applyFont="1" applyFill="1" applyBorder="1" applyAlignment="1" applyProtection="1"/>
    <xf numFmtId="164" fontId="4" fillId="3" borderId="45" xfId="1" applyNumberFormat="1" applyFont="1" applyFill="1" applyBorder="1" applyAlignment="1" applyProtection="1">
      <protection locked="0"/>
    </xf>
    <xf numFmtId="0" fontId="5" fillId="0" borderId="46" xfId="2" quotePrefix="1" applyNumberFormat="1" applyFont="1" applyFill="1" applyBorder="1" applyAlignment="1" applyProtection="1">
      <alignment horizontal="center"/>
    </xf>
    <xf numFmtId="0" fontId="5" fillId="0" borderId="47" xfId="2" applyNumberFormat="1" applyFont="1" applyFill="1" applyBorder="1" applyAlignment="1" applyProtection="1">
      <alignment horizontal="left"/>
    </xf>
    <xf numFmtId="164" fontId="5" fillId="0" borderId="14" xfId="1" applyNumberFormat="1" applyFont="1" applyFill="1" applyBorder="1" applyAlignment="1" applyProtection="1"/>
    <xf numFmtId="0" fontId="6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quotePrefix="1" applyNumberFormat="1" applyFont="1" applyFill="1" applyBorder="1" applyAlignment="1" applyProtection="1">
      <alignment horizontal="left"/>
    </xf>
    <xf numFmtId="0" fontId="5" fillId="0" borderId="15" xfId="2" applyNumberFormat="1" applyFont="1" applyFill="1" applyBorder="1" applyAlignment="1" applyProtection="1">
      <alignment horizontal="left"/>
    </xf>
    <xf numFmtId="0" fontId="4" fillId="0" borderId="15" xfId="2" applyNumberFormat="1" applyFont="1" applyFill="1" applyBorder="1" applyAlignment="1" applyProtection="1">
      <alignment horizontal="right"/>
    </xf>
    <xf numFmtId="164" fontId="4" fillId="2" borderId="15" xfId="1" applyNumberFormat="1" applyFont="1" applyFill="1" applyBorder="1" applyAlignment="1" applyProtection="1">
      <alignment horizontal="right"/>
    </xf>
    <xf numFmtId="164" fontId="4" fillId="0" borderId="52" xfId="1" applyNumberFormat="1" applyFont="1" applyFill="1" applyBorder="1" applyAlignment="1" applyProtection="1">
      <alignment horizontal="right"/>
    </xf>
    <xf numFmtId="0" fontId="4" fillId="0" borderId="1" xfId="2" quotePrefix="1" applyNumberFormat="1" applyFont="1" applyFill="1" applyBorder="1" applyAlignment="1" applyProtection="1">
      <alignment horizontal="center"/>
    </xf>
    <xf numFmtId="0" fontId="4" fillId="0" borderId="60" xfId="2" applyNumberFormat="1" applyFont="1" applyFill="1" applyBorder="1" applyAlignment="1" applyProtection="1"/>
    <xf numFmtId="0" fontId="4" fillId="0" borderId="18" xfId="2" quotePrefix="1" applyNumberFormat="1" applyFont="1" applyFill="1" applyBorder="1" applyAlignment="1" applyProtection="1">
      <alignment horizontal="center"/>
    </xf>
    <xf numFmtId="0" fontId="4" fillId="0" borderId="61" xfId="2" applyNumberFormat="1" applyFont="1" applyFill="1" applyBorder="1" applyAlignment="1" applyProtection="1"/>
    <xf numFmtId="0" fontId="4" fillId="0" borderId="56" xfId="2" quotePrefix="1" applyNumberFormat="1" applyFont="1" applyFill="1" applyBorder="1" applyAlignment="1" applyProtection="1">
      <alignment horizontal="center"/>
    </xf>
    <xf numFmtId="164" fontId="4" fillId="0" borderId="26" xfId="1" applyNumberFormat="1" applyFont="1" applyFill="1" applyBorder="1" applyAlignment="1" applyProtection="1">
      <alignment horizontal="right"/>
    </xf>
    <xf numFmtId="0" fontId="4" fillId="0" borderId="58" xfId="2" quotePrefix="1" applyNumberFormat="1" applyFont="1" applyFill="1" applyBorder="1" applyAlignment="1" applyProtection="1">
      <alignment horizontal="center"/>
    </xf>
    <xf numFmtId="0" fontId="4" fillId="0" borderId="62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/>
    <xf numFmtId="164" fontId="4" fillId="0" borderId="10" xfId="1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 applyProtection="1"/>
    <xf numFmtId="0" fontId="4" fillId="0" borderId="14" xfId="2" quotePrefix="1" applyNumberFormat="1" applyFont="1" applyFill="1" applyBorder="1" applyAlignment="1" applyProtection="1">
      <alignment horizontal="center"/>
    </xf>
    <xf numFmtId="0" fontId="4" fillId="0" borderId="12" xfId="2" applyNumberFormat="1" applyFont="1" applyFill="1" applyBorder="1" applyAlignment="1" applyProtection="1"/>
    <xf numFmtId="0" fontId="4" fillId="0" borderId="33" xfId="2" applyNumberFormat="1" applyFont="1" applyFill="1" applyBorder="1" applyAlignment="1" applyProtection="1"/>
    <xf numFmtId="164" fontId="4" fillId="0" borderId="15" xfId="1" applyNumberFormat="1" applyFont="1" applyFill="1" applyBorder="1" applyAlignment="1" applyProtection="1">
      <alignment horizontal="right"/>
    </xf>
    <xf numFmtId="0" fontId="5" fillId="0" borderId="47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4" applyNumberFormat="1" applyFont="1" applyFill="1" applyAlignment="1" applyProtection="1"/>
    <xf numFmtId="0" fontId="4" fillId="0" borderId="27" xfId="5" applyNumberFormat="1" applyFont="1" applyFill="1" applyBorder="1" applyAlignment="1" applyProtection="1"/>
    <xf numFmtId="0" fontId="4" fillId="0" borderId="20" xfId="5" applyNumberFormat="1" applyFont="1" applyFill="1" applyBorder="1" applyAlignment="1" applyProtection="1"/>
    <xf numFmtId="0" fontId="4" fillId="0" borderId="28" xfId="5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63" xfId="2" applyNumberFormat="1" applyFont="1" applyFill="1" applyBorder="1" applyAlignment="1" applyProtection="1">
      <alignment horizontal="center"/>
    </xf>
    <xf numFmtId="0" fontId="5" fillId="0" borderId="11" xfId="2" applyNumberFormat="1" applyFont="1" applyFill="1" applyBorder="1" applyAlignment="1" applyProtection="1">
      <alignment horizontal="centerContinuous"/>
    </xf>
    <xf numFmtId="0" fontId="5" fillId="0" borderId="33" xfId="2" quotePrefix="1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left"/>
    </xf>
    <xf numFmtId="164" fontId="5" fillId="0" borderId="52" xfId="1" applyNumberFormat="1" applyFont="1" applyFill="1" applyBorder="1" applyAlignment="1" applyProtection="1">
      <alignment horizontal="right"/>
    </xf>
    <xf numFmtId="0" fontId="5" fillId="0" borderId="11" xfId="2" applyNumberFormat="1" applyFont="1" applyFill="1" applyBorder="1" applyAlignment="1" applyProtection="1"/>
    <xf numFmtId="164" fontId="4" fillId="0" borderId="13" xfId="1" applyNumberFormat="1" applyFont="1" applyFill="1" applyBorder="1" applyAlignment="1" applyProtection="1">
      <alignment horizontal="right"/>
    </xf>
    <xf numFmtId="0" fontId="4" fillId="0" borderId="1" xfId="2" quotePrefix="1" applyNumberFormat="1" applyFont="1" applyFill="1" applyBorder="1" applyAlignment="1" applyProtection="1">
      <alignment horizontal="left"/>
    </xf>
    <xf numFmtId="164" fontId="4" fillId="4" borderId="16" xfId="1" applyNumberFormat="1" applyFont="1" applyFill="1" applyBorder="1" applyAlignment="1" applyProtection="1">
      <alignment horizontal="right"/>
      <protection locked="0"/>
    </xf>
    <xf numFmtId="164" fontId="4" fillId="4" borderId="19" xfId="1" applyNumberFormat="1" applyFont="1" applyFill="1" applyBorder="1" applyAlignment="1" applyProtection="1">
      <alignment horizontal="right"/>
      <protection locked="0"/>
    </xf>
    <xf numFmtId="0" fontId="4" fillId="0" borderId="18" xfId="2" applyNumberFormat="1" applyFont="1" applyFill="1" applyBorder="1" applyAlignment="1" applyProtection="1">
      <alignment horizontal="left"/>
    </xf>
    <xf numFmtId="0" fontId="5" fillId="0" borderId="4" xfId="2" quotePrefix="1" applyNumberFormat="1" applyFont="1" applyFill="1" applyBorder="1" applyAlignment="1" applyProtection="1">
      <alignment horizontal="left"/>
    </xf>
    <xf numFmtId="0" fontId="5" fillId="0" borderId="62" xfId="2" applyNumberFormat="1" applyFont="1" applyFill="1" applyBorder="1" applyAlignment="1" applyProtection="1"/>
    <xf numFmtId="164" fontId="5" fillId="0" borderId="23" xfId="1" applyNumberFormat="1" applyFont="1" applyFill="1" applyBorder="1" applyAlignment="1" applyProtection="1">
      <alignment horizontal="right"/>
    </xf>
    <xf numFmtId="0" fontId="4" fillId="0" borderId="60" xfId="2" applyNumberFormat="1" applyFont="1" applyFill="1" applyBorder="1" applyAlignment="1" applyProtection="1">
      <alignment horizontal="left"/>
    </xf>
    <xf numFmtId="0" fontId="4" fillId="0" borderId="18" xfId="2" quotePrefix="1" applyNumberFormat="1" applyFont="1" applyFill="1" applyBorder="1" applyAlignment="1" applyProtection="1">
      <alignment horizontal="left"/>
    </xf>
    <xf numFmtId="0" fontId="4" fillId="0" borderId="61" xfId="2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left"/>
    </xf>
    <xf numFmtId="0" fontId="4" fillId="0" borderId="62" xfId="2" applyNumberFormat="1" applyFont="1" applyFill="1" applyBorder="1" applyAlignment="1" applyProtection="1">
      <alignment horizontal="left"/>
    </xf>
    <xf numFmtId="164" fontId="4" fillId="4" borderId="23" xfId="1" applyNumberFormat="1" applyFont="1" applyFill="1" applyBorder="1" applyAlignment="1" applyProtection="1">
      <alignment horizontal="right"/>
      <protection locked="0"/>
    </xf>
    <xf numFmtId="0" fontId="5" fillId="0" borderId="30" xfId="2" quotePrefix="1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"/>
    </xf>
    <xf numFmtId="0" fontId="7" fillId="0" borderId="0" xfId="2" applyNumberFormat="1" applyFont="1" applyFill="1" applyAlignment="1" applyProtection="1">
      <alignment horizontal="center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2" xfId="2" quotePrefix="1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left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7" fillId="0" borderId="0" xfId="2" applyNumberFormat="1" applyFont="1" applyFill="1" applyAlignment="1" applyProtection="1">
      <alignment horizontal="center"/>
    </xf>
    <xf numFmtId="0" fontId="2" fillId="0" borderId="0" xfId="6"/>
    <xf numFmtId="0" fontId="3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quotePrefix="1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/>
    <xf numFmtId="0" fontId="6" fillId="0" borderId="0" xfId="2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164" fontId="4" fillId="0" borderId="9" xfId="71" applyNumberFormat="1" applyFont="1" applyFill="1" applyBorder="1" applyAlignment="1" applyProtection="1">
      <alignment horizontal="right"/>
    </xf>
    <xf numFmtId="164" fontId="4" fillId="0" borderId="10" xfId="71" applyNumberFormat="1" applyFont="1" applyFill="1" applyBorder="1" applyAlignment="1" applyProtection="1">
      <alignment horizontal="center"/>
    </xf>
    <xf numFmtId="0" fontId="4" fillId="0" borderId="18" xfId="2" quotePrefix="1" applyNumberFormat="1" applyFont="1" applyFill="1" applyBorder="1" applyAlignment="1" applyProtection="1">
      <alignment horizontal="center"/>
    </xf>
    <xf numFmtId="164" fontId="4" fillId="0" borderId="21" xfId="71" applyNumberFormat="1" applyFont="1" applyFill="1" applyBorder="1" applyAlignment="1" applyProtection="1">
      <alignment horizontal="right"/>
    </xf>
    <xf numFmtId="164" fontId="4" fillId="0" borderId="22" xfId="71" applyNumberFormat="1" applyFont="1" applyFill="1" applyBorder="1" applyAlignment="1" applyProtection="1">
      <alignment horizontal="center"/>
    </xf>
    <xf numFmtId="164" fontId="4" fillId="0" borderId="25" xfId="71" applyNumberFormat="1" applyFont="1" applyFill="1" applyBorder="1" applyAlignment="1" applyProtection="1">
      <alignment horizontal="right"/>
    </xf>
    <xf numFmtId="164" fontId="4" fillId="0" borderId="26" xfId="71" applyNumberFormat="1" applyFont="1" applyFill="1" applyBorder="1" applyAlignment="1" applyProtection="1">
      <alignment horizontal="center"/>
    </xf>
    <xf numFmtId="0" fontId="4" fillId="0" borderId="1" xfId="2" quotePrefix="1" applyNumberFormat="1" applyFont="1" applyFill="1" applyBorder="1" applyAlignment="1" applyProtection="1">
      <alignment horizontal="center"/>
    </xf>
    <xf numFmtId="164" fontId="4" fillId="0" borderId="2" xfId="71" applyNumberFormat="1" applyFont="1" applyFill="1" applyBorder="1" applyAlignment="1" applyProtection="1">
      <alignment horizontal="right"/>
    </xf>
    <xf numFmtId="164" fontId="4" fillId="0" borderId="3" xfId="71" applyNumberFormat="1" applyFont="1" applyFill="1" applyBorder="1" applyAlignment="1" applyProtection="1">
      <alignment horizontal="center"/>
    </xf>
    <xf numFmtId="164" fontId="4" fillId="0" borderId="5" xfId="71" applyNumberFormat="1" applyFont="1" applyFill="1" applyBorder="1" applyAlignment="1" applyProtection="1">
      <alignment horizontal="right"/>
    </xf>
    <xf numFmtId="164" fontId="4" fillId="0" borderId="6" xfId="71" applyNumberFormat="1" applyFont="1" applyFill="1" applyBorder="1" applyAlignment="1" applyProtection="1">
      <alignment horizontal="center"/>
    </xf>
    <xf numFmtId="0" fontId="5" fillId="0" borderId="29" xfId="2" applyNumberFormat="1" applyFont="1" applyFill="1" applyBorder="1" applyAlignment="1" applyProtection="1"/>
    <xf numFmtId="0" fontId="5" fillId="0" borderId="31" xfId="3" applyNumberFormat="1" applyFont="1" applyFill="1" applyBorder="1" applyAlignment="1" applyProtection="1">
      <alignment horizontal="center"/>
    </xf>
    <xf numFmtId="164" fontId="5" fillId="0" borderId="32" xfId="71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horizontal="center"/>
    </xf>
    <xf numFmtId="164" fontId="5" fillId="0" borderId="0" xfId="71" applyNumberFormat="1" applyFont="1" applyFill="1" applyBorder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/>
    <xf numFmtId="0" fontId="5" fillId="0" borderId="15" xfId="2" applyNumberFormat="1" applyFont="1" applyFill="1" applyBorder="1" applyAlignment="1" applyProtection="1">
      <alignment horizontal="left"/>
    </xf>
    <xf numFmtId="0" fontId="5" fillId="2" borderId="15" xfId="2" applyNumberFormat="1" applyFont="1" applyFill="1" applyBorder="1" applyAlignment="1" applyProtection="1"/>
    <xf numFmtId="164" fontId="5" fillId="0" borderId="13" xfId="2" applyNumberFormat="1" applyFont="1" applyFill="1" applyBorder="1" applyAlignment="1" applyProtection="1"/>
    <xf numFmtId="0" fontId="4" fillId="2" borderId="9" xfId="2" applyNumberFormat="1" applyFont="1" applyFill="1" applyBorder="1" applyAlignment="1" applyProtection="1"/>
    <xf numFmtId="164" fontId="4" fillId="0" borderId="35" xfId="71" applyNumberFormat="1" applyFont="1" applyFill="1" applyBorder="1" applyAlignment="1" applyProtection="1"/>
    <xf numFmtId="0" fontId="4" fillId="0" borderId="56" xfId="2" quotePrefix="1" applyNumberFormat="1" applyFont="1" applyFill="1" applyBorder="1" applyAlignment="1" applyProtection="1">
      <alignment horizontal="center"/>
    </xf>
    <xf numFmtId="0" fontId="4" fillId="2" borderId="21" xfId="2" applyNumberFormat="1" applyFont="1" applyFill="1" applyBorder="1" applyAlignment="1" applyProtection="1"/>
    <xf numFmtId="164" fontId="4" fillId="0" borderId="36" xfId="71" applyNumberFormat="1" applyFont="1" applyFill="1" applyBorder="1" applyAlignment="1" applyProtection="1"/>
    <xf numFmtId="0" fontId="4" fillId="2" borderId="25" xfId="2" applyNumberFormat="1" applyFont="1" applyFill="1" applyBorder="1" applyAlignment="1" applyProtection="1"/>
    <xf numFmtId="164" fontId="4" fillId="0" borderId="39" xfId="71" applyNumberFormat="1" applyFont="1" applyFill="1" applyBorder="1" applyAlignment="1" applyProtection="1"/>
    <xf numFmtId="0" fontId="4" fillId="2" borderId="42" xfId="2" applyNumberFormat="1" applyFont="1" applyFill="1" applyBorder="1" applyAlignment="1" applyProtection="1"/>
    <xf numFmtId="164" fontId="4" fillId="0" borderId="43" xfId="71" applyNumberFormat="1" applyFont="1" applyFill="1" applyBorder="1" applyAlignment="1" applyProtection="1"/>
    <xf numFmtId="0" fontId="4" fillId="2" borderId="2" xfId="2" applyNumberFormat="1" applyFont="1" applyFill="1" applyBorder="1" applyAlignment="1" applyProtection="1"/>
    <xf numFmtId="164" fontId="4" fillId="0" borderId="44" xfId="71" applyNumberFormat="1" applyFont="1" applyFill="1" applyBorder="1" applyAlignment="1" applyProtection="1"/>
    <xf numFmtId="0" fontId="4" fillId="2" borderId="5" xfId="2" applyNumberFormat="1" applyFont="1" applyFill="1" applyBorder="1" applyAlignment="1" applyProtection="1"/>
    <xf numFmtId="164" fontId="4" fillId="0" borderId="45" xfId="71" applyNumberFormat="1" applyFont="1" applyFill="1" applyBorder="1" applyAlignment="1" applyProtection="1"/>
    <xf numFmtId="0" fontId="5" fillId="2" borderId="2" xfId="2" applyNumberFormat="1" applyFont="1" applyFill="1" applyBorder="1" applyAlignment="1" applyProtection="1"/>
    <xf numFmtId="164" fontId="5" fillId="0" borderId="44" xfId="71" applyNumberFormat="1" applyFont="1" applyFill="1" applyBorder="1" applyAlignment="1" applyProtection="1"/>
    <xf numFmtId="0" fontId="5" fillId="2" borderId="51" xfId="2" applyNumberFormat="1" applyFont="1" applyFill="1" applyBorder="1" applyAlignment="1" applyProtection="1"/>
    <xf numFmtId="164" fontId="5" fillId="0" borderId="7" xfId="71" applyNumberFormat="1" applyFont="1" applyFill="1" applyBorder="1" applyAlignment="1" applyProtection="1"/>
    <xf numFmtId="0" fontId="5" fillId="0" borderId="11" xfId="2" applyNumberFormat="1" applyFont="1" applyFill="1" applyBorder="1" applyAlignment="1" applyProtection="1"/>
    <xf numFmtId="164" fontId="5" fillId="0" borderId="13" xfId="71" applyNumberFormat="1" applyFont="1" applyFill="1" applyBorder="1" applyAlignment="1" applyProtection="1"/>
    <xf numFmtId="0" fontId="5" fillId="0" borderId="33" xfId="2" applyNumberFormat="1" applyFont="1" applyFill="1" applyBorder="1" applyAlignment="1" applyProtection="1">
      <alignment horizontal="center" vertical="center" wrapText="1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0" fontId="5" fillId="2" borderId="15" xfId="2" applyNumberFormat="1" applyFont="1" applyFill="1" applyBorder="1" applyAlignment="1" applyProtection="1">
      <alignment horizontal="center" vertical="center" wrapText="1"/>
    </xf>
    <xf numFmtId="0" fontId="5" fillId="0" borderId="52" xfId="2" applyNumberFormat="1" applyFont="1" applyFill="1" applyBorder="1" applyAlignment="1" applyProtection="1">
      <alignment horizontal="center" vertical="center" wrapText="1"/>
    </xf>
    <xf numFmtId="164" fontId="4" fillId="0" borderId="10" xfId="71" applyNumberFormat="1" applyFont="1" applyFill="1" applyBorder="1" applyAlignment="1" applyProtection="1"/>
    <xf numFmtId="164" fontId="4" fillId="0" borderId="22" xfId="71" applyNumberFormat="1" applyFont="1" applyFill="1" applyBorder="1" applyAlignment="1" applyProtection="1"/>
    <xf numFmtId="164" fontId="4" fillId="0" borderId="26" xfId="71" applyNumberFormat="1" applyFont="1" applyFill="1" applyBorder="1" applyAlignment="1" applyProtection="1"/>
    <xf numFmtId="0" fontId="5" fillId="0" borderId="33" xfId="2" applyNumberFormat="1" applyFont="1" applyFill="1" applyBorder="1" applyAlignment="1" applyProtection="1"/>
    <xf numFmtId="164" fontId="5" fillId="0" borderId="52" xfId="71" applyNumberFormat="1" applyFont="1" applyFill="1" applyBorder="1" applyAlignment="1" applyProtection="1"/>
    <xf numFmtId="166" fontId="4" fillId="0" borderId="2" xfId="2" applyNumberFormat="1" applyFont="1" applyFill="1" applyBorder="1" applyAlignment="1" applyProtection="1">
      <alignment horizontal="right"/>
    </xf>
    <xf numFmtId="166" fontId="4" fillId="0" borderId="44" xfId="2" applyNumberFormat="1" applyFont="1" applyFill="1" applyBorder="1" applyAlignment="1" applyProtection="1">
      <alignment horizontal="right"/>
    </xf>
    <xf numFmtId="164" fontId="4" fillId="0" borderId="44" xfId="71" applyNumberFormat="1" applyFont="1" applyFill="1" applyBorder="1" applyAlignment="1" applyProtection="1">
      <alignment horizontal="right"/>
    </xf>
    <xf numFmtId="166" fontId="4" fillId="0" borderId="21" xfId="2" applyNumberFormat="1" applyFont="1" applyFill="1" applyBorder="1" applyAlignment="1" applyProtection="1">
      <alignment horizontal="right"/>
    </xf>
    <xf numFmtId="166" fontId="4" fillId="0" borderId="36" xfId="2" applyNumberFormat="1" applyFont="1" applyFill="1" applyBorder="1" applyAlignment="1" applyProtection="1">
      <alignment horizontal="right"/>
    </xf>
    <xf numFmtId="164" fontId="4" fillId="0" borderId="36" xfId="71" applyNumberFormat="1" applyFont="1" applyFill="1" applyBorder="1" applyAlignment="1" applyProtection="1">
      <alignment horizontal="right"/>
    </xf>
    <xf numFmtId="166" fontId="4" fillId="0" borderId="25" xfId="2" applyNumberFormat="1" applyFont="1" applyFill="1" applyBorder="1" applyAlignment="1" applyProtection="1">
      <alignment horizontal="right"/>
    </xf>
    <xf numFmtId="166" fontId="4" fillId="0" borderId="39" xfId="2" applyNumberFormat="1" applyFont="1" applyFill="1" applyBorder="1" applyAlignment="1" applyProtection="1">
      <alignment horizontal="right"/>
    </xf>
    <xf numFmtId="164" fontId="4" fillId="0" borderId="39" xfId="71" applyNumberFormat="1" applyFont="1" applyFill="1" applyBorder="1" applyAlignment="1" applyProtection="1">
      <alignment horizontal="right"/>
    </xf>
    <xf numFmtId="0" fontId="4" fillId="0" borderId="58" xfId="2" quotePrefix="1" applyNumberFormat="1" applyFont="1" applyFill="1" applyBorder="1" applyAlignment="1" applyProtection="1">
      <alignment horizontal="center"/>
    </xf>
    <xf numFmtId="166" fontId="4" fillId="0" borderId="5" xfId="2" applyNumberFormat="1" applyFont="1" applyFill="1" applyBorder="1" applyAlignment="1" applyProtection="1">
      <alignment horizontal="right"/>
    </xf>
    <xf numFmtId="166" fontId="4" fillId="0" borderId="45" xfId="2" applyNumberFormat="1" applyFont="1" applyFill="1" applyBorder="1" applyAlignment="1" applyProtection="1">
      <alignment horizontal="right"/>
    </xf>
    <xf numFmtId="164" fontId="4" fillId="0" borderId="45" xfId="71" applyNumberFormat="1" applyFont="1" applyFill="1" applyBorder="1" applyAlignment="1" applyProtection="1">
      <alignment horizontal="right"/>
    </xf>
    <xf numFmtId="166" fontId="4" fillId="0" borderId="9" xfId="2" applyNumberFormat="1" applyFont="1" applyFill="1" applyBorder="1" applyAlignment="1" applyProtection="1">
      <alignment horizontal="right"/>
    </xf>
    <xf numFmtId="166" fontId="4" fillId="0" borderId="35" xfId="2" applyNumberFormat="1" applyFont="1" applyFill="1" applyBorder="1" applyAlignment="1" applyProtection="1">
      <alignment horizontal="right"/>
    </xf>
    <xf numFmtId="164" fontId="4" fillId="0" borderId="35" xfId="71" applyNumberFormat="1" applyFont="1" applyFill="1" applyBorder="1" applyAlignment="1" applyProtection="1">
      <alignment horizontal="right"/>
    </xf>
    <xf numFmtId="0" fontId="5" fillId="0" borderId="55" xfId="2" applyNumberFormat="1" applyFont="1" applyFill="1" applyBorder="1" applyAlignment="1" applyProtection="1"/>
    <xf numFmtId="166" fontId="5" fillId="0" borderId="31" xfId="2" applyNumberFormat="1" applyFont="1" applyFill="1" applyBorder="1" applyAlignment="1" applyProtection="1"/>
    <xf numFmtId="166" fontId="5" fillId="0" borderId="48" xfId="2" applyNumberFormat="1" applyFont="1" applyFill="1" applyBorder="1" applyAlignment="1" applyProtection="1"/>
    <xf numFmtId="164" fontId="5" fillId="0" borderId="48" xfId="71" applyNumberFormat="1" applyFont="1" applyFill="1" applyBorder="1" applyAlignment="1" applyProtection="1">
      <alignment horizontal="right"/>
    </xf>
    <xf numFmtId="164" fontId="4" fillId="0" borderId="2" xfId="71" applyNumberFormat="1" applyFont="1" applyFill="1" applyBorder="1" applyAlignment="1" applyProtection="1"/>
    <xf numFmtId="164" fontId="4" fillId="0" borderId="3" xfId="71" applyNumberFormat="1" applyFont="1" applyFill="1" applyBorder="1" applyAlignment="1" applyProtection="1"/>
    <xf numFmtId="164" fontId="4" fillId="0" borderId="25" xfId="71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>
      <alignment horizontal="left"/>
    </xf>
    <xf numFmtId="164" fontId="5" fillId="0" borderId="14" xfId="71" applyNumberFormat="1" applyFont="1" applyFill="1" applyBorder="1" applyAlignment="1" applyProtection="1">
      <alignment horizontal="center"/>
    </xf>
    <xf numFmtId="164" fontId="4" fillId="0" borderId="3" xfId="71" applyNumberFormat="1" applyFont="1" applyFill="1" applyBorder="1" applyAlignment="1" applyProtection="1">
      <alignment horizontal="right"/>
    </xf>
    <xf numFmtId="164" fontId="4" fillId="0" borderId="22" xfId="71" applyNumberFormat="1" applyFont="1" applyFill="1" applyBorder="1" applyAlignment="1" applyProtection="1">
      <alignment horizontal="right"/>
    </xf>
    <xf numFmtId="164" fontId="5" fillId="2" borderId="5" xfId="71" applyNumberFormat="1" applyFont="1" applyFill="1" applyBorder="1" applyAlignment="1" applyProtection="1">
      <alignment horizontal="right"/>
    </xf>
    <xf numFmtId="164" fontId="5" fillId="0" borderId="6" xfId="71" applyNumberFormat="1" applyFont="1" applyFill="1" applyBorder="1" applyAlignment="1" applyProtection="1">
      <alignment horizontal="right"/>
    </xf>
    <xf numFmtId="164" fontId="4" fillId="2" borderId="31" xfId="71" applyNumberFormat="1" applyFont="1" applyFill="1" applyBorder="1" applyAlignment="1" applyProtection="1">
      <alignment horizontal="right"/>
    </xf>
    <xf numFmtId="164" fontId="5" fillId="0" borderId="32" xfId="71" applyNumberFormat="1" applyFont="1" applyFill="1" applyBorder="1" applyAlignment="1" applyProtection="1">
      <alignment horizontal="right"/>
    </xf>
    <xf numFmtId="164" fontId="4" fillId="0" borderId="6" xfId="71" applyNumberFormat="1" applyFont="1" applyFill="1" applyBorder="1" applyAlignment="1" applyProtection="1">
      <alignment horizontal="right"/>
    </xf>
    <xf numFmtId="0" fontId="5" fillId="0" borderId="55" xfId="2" quotePrefix="1" applyNumberFormat="1" applyFont="1" applyFill="1" applyBorder="1" applyAlignment="1" applyProtection="1">
      <alignment horizontal="left"/>
    </xf>
    <xf numFmtId="0" fontId="5" fillId="0" borderId="55" xfId="2" applyNumberFormat="1" applyFont="1" applyFill="1" applyBorder="1" applyAlignment="1" applyProtection="1">
      <alignment horizontal="right"/>
    </xf>
    <xf numFmtId="164" fontId="4" fillId="2" borderId="55" xfId="71" applyNumberFormat="1" applyFont="1" applyFill="1" applyBorder="1" applyAlignment="1" applyProtection="1">
      <alignment horizontal="right"/>
    </xf>
    <xf numFmtId="164" fontId="5" fillId="0" borderId="46" xfId="71" applyNumberFormat="1" applyFont="1" applyFill="1" applyBorder="1" applyAlignment="1" applyProtection="1">
      <alignment horizontal="right"/>
    </xf>
    <xf numFmtId="164" fontId="4" fillId="0" borderId="32" xfId="71" applyNumberFormat="1" applyFont="1" applyFill="1" applyBorder="1" applyAlignment="1" applyProtection="1">
      <alignment horizontal="right"/>
    </xf>
    <xf numFmtId="164" fontId="4" fillId="2" borderId="21" xfId="71" applyNumberFormat="1" applyFont="1" applyFill="1" applyBorder="1" applyAlignment="1" applyProtection="1">
      <alignment horizontal="right"/>
    </xf>
    <xf numFmtId="164" fontId="4" fillId="3" borderId="44" xfId="71" applyNumberFormat="1" applyFont="1" applyFill="1" applyBorder="1" applyAlignment="1" applyProtection="1">
      <protection locked="0"/>
    </xf>
    <xf numFmtId="0" fontId="4" fillId="0" borderId="0" xfId="2" applyNumberFormat="1" applyFont="1" applyFill="1" applyAlignment="1" applyProtection="1">
      <alignment horizontal="right"/>
    </xf>
    <xf numFmtId="164" fontId="4" fillId="3" borderId="45" xfId="71" applyNumberFormat="1" applyFont="1" applyFill="1" applyBorder="1" applyAlignment="1" applyProtection="1">
      <protection locked="0"/>
    </xf>
    <xf numFmtId="0" fontId="6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quotePrefix="1" applyNumberFormat="1" applyFont="1" applyFill="1" applyBorder="1" applyAlignment="1" applyProtection="1">
      <alignment horizontal="left"/>
    </xf>
    <xf numFmtId="0" fontId="4" fillId="0" borderId="15" xfId="2" applyNumberFormat="1" applyFont="1" applyFill="1" applyBorder="1" applyAlignment="1" applyProtection="1">
      <alignment horizontal="right"/>
    </xf>
    <xf numFmtId="164" fontId="4" fillId="2" borderId="15" xfId="71" applyNumberFormat="1" applyFont="1" applyFill="1" applyBorder="1" applyAlignment="1" applyProtection="1">
      <alignment horizontal="right"/>
    </xf>
    <xf numFmtId="164" fontId="4" fillId="0" borderId="52" xfId="71" applyNumberFormat="1" applyFont="1" applyFill="1" applyBorder="1" applyAlignment="1" applyProtection="1">
      <alignment horizontal="right"/>
    </xf>
    <xf numFmtId="164" fontId="4" fillId="0" borderId="26" xfId="71" applyNumberFormat="1" applyFont="1" applyFill="1" applyBorder="1" applyAlignment="1" applyProtection="1">
      <alignment horizontal="right"/>
    </xf>
    <xf numFmtId="164" fontId="4" fillId="0" borderId="10" xfId="71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 applyProtection="1"/>
    <xf numFmtId="164" fontId="4" fillId="0" borderId="15" xfId="71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4" applyNumberFormat="1" applyFont="1" applyFill="1" applyAlignment="1" applyProtection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63" xfId="2" applyNumberFormat="1" applyFont="1" applyFill="1" applyBorder="1" applyAlignment="1" applyProtection="1">
      <alignment horizontal="center"/>
    </xf>
    <xf numFmtId="164" fontId="5" fillId="0" borderId="52" xfId="71" applyNumberFormat="1" applyFont="1" applyFill="1" applyBorder="1" applyAlignment="1" applyProtection="1">
      <alignment horizontal="right"/>
    </xf>
    <xf numFmtId="164" fontId="4" fillId="0" borderId="13" xfId="71" applyNumberFormat="1" applyFont="1" applyFill="1" applyBorder="1" applyAlignment="1" applyProtection="1">
      <alignment horizontal="right"/>
    </xf>
    <xf numFmtId="0" fontId="4" fillId="0" borderId="1" xfId="2" quotePrefix="1" applyNumberFormat="1" applyFont="1" applyFill="1" applyBorder="1" applyAlignment="1" applyProtection="1">
      <alignment horizontal="left"/>
    </xf>
    <xf numFmtId="0" fontId="4" fillId="0" borderId="18" xfId="2" applyNumberFormat="1" applyFont="1" applyFill="1" applyBorder="1" applyAlignment="1" applyProtection="1"/>
    <xf numFmtId="0" fontId="4" fillId="0" borderId="18" xfId="2" applyNumberFormat="1" applyFont="1" applyFill="1" applyBorder="1" applyAlignment="1" applyProtection="1">
      <alignment horizontal="left"/>
    </xf>
    <xf numFmtId="0" fontId="5" fillId="0" borderId="4" xfId="2" quotePrefix="1" applyNumberFormat="1" applyFont="1" applyFill="1" applyBorder="1" applyAlignment="1" applyProtection="1">
      <alignment horizontal="left"/>
    </xf>
    <xf numFmtId="0" fontId="4" fillId="0" borderId="1" xfId="2" applyNumberFormat="1" applyFont="1" applyFill="1" applyBorder="1" applyAlignment="1" applyProtection="1"/>
    <xf numFmtId="0" fontId="4" fillId="0" borderId="18" xfId="2" quotePrefix="1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Continuous"/>
    </xf>
    <xf numFmtId="0" fontId="4" fillId="2" borderId="31" xfId="2" applyNumberFormat="1" applyFont="1" applyFill="1" applyBorder="1" applyAlignment="1" applyProtection="1"/>
    <xf numFmtId="164" fontId="4" fillId="0" borderId="48" xfId="71" applyNumberFormat="1" applyFont="1" applyFill="1" applyBorder="1" applyAlignment="1" applyProtection="1"/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54" xfId="2" quotePrefix="1" applyNumberFormat="1" applyFont="1" applyFill="1" applyBorder="1" applyAlignment="1" applyProtection="1">
      <alignment horizontal="left"/>
    </xf>
    <xf numFmtId="0" fontId="5" fillId="0" borderId="54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/>
    <xf numFmtId="0" fontId="5" fillId="0" borderId="30" xfId="2" quotePrefix="1" applyNumberFormat="1" applyFont="1" applyFill="1" applyBorder="1" applyAlignment="1" applyProtection="1">
      <alignment horizontal="left"/>
    </xf>
    <xf numFmtId="0" fontId="4" fillId="0" borderId="60" xfId="2" applyNumberFormat="1" applyFont="1" applyFill="1" applyBorder="1" applyAlignment="1" applyProtection="1"/>
    <xf numFmtId="0" fontId="4" fillId="0" borderId="61" xfId="2" applyNumberFormat="1" applyFont="1" applyFill="1" applyBorder="1" applyAlignment="1" applyProtection="1"/>
    <xf numFmtId="0" fontId="5" fillId="0" borderId="62" xfId="2" applyNumberFormat="1" applyFont="1" applyFill="1" applyBorder="1" applyAlignment="1" applyProtection="1"/>
    <xf numFmtId="0" fontId="4" fillId="0" borderId="60" xfId="2" applyNumberFormat="1" applyFont="1" applyFill="1" applyBorder="1" applyAlignment="1" applyProtection="1">
      <alignment horizontal="left"/>
    </xf>
    <xf numFmtId="0" fontId="4" fillId="0" borderId="61" xfId="2" applyNumberFormat="1" applyFont="1" applyFill="1" applyBorder="1" applyAlignment="1" applyProtection="1">
      <alignment horizontal="left"/>
    </xf>
    <xf numFmtId="0" fontId="4" fillId="0" borderId="62" xfId="2" applyNumberFormat="1" applyFont="1" applyFill="1" applyBorder="1" applyAlignment="1" applyProtection="1">
      <alignment horizontal="left"/>
    </xf>
    <xf numFmtId="164" fontId="4" fillId="4" borderId="16" xfId="71" applyNumberFormat="1" applyFont="1" applyFill="1" applyBorder="1" applyAlignment="1" applyProtection="1">
      <alignment horizontal="right"/>
      <protection locked="0"/>
    </xf>
    <xf numFmtId="164" fontId="4" fillId="4" borderId="19" xfId="71" applyNumberFormat="1" applyFont="1" applyFill="1" applyBorder="1" applyAlignment="1" applyProtection="1">
      <alignment horizontal="right"/>
      <protection locked="0"/>
    </xf>
    <xf numFmtId="164" fontId="5" fillId="0" borderId="23" xfId="71" applyNumberFormat="1" applyFont="1" applyFill="1" applyBorder="1" applyAlignment="1" applyProtection="1">
      <alignment horizontal="right"/>
    </xf>
    <xf numFmtId="164" fontId="4" fillId="4" borderId="23" xfId="71" applyNumberFormat="1" applyFont="1" applyFill="1" applyBorder="1" applyAlignment="1" applyProtection="1">
      <alignment horizontal="right"/>
      <protection locked="0"/>
    </xf>
    <xf numFmtId="0" fontId="5" fillId="0" borderId="11" xfId="2" applyNumberFormat="1" applyFont="1" applyFill="1" applyBorder="1" applyAlignment="1" applyProtection="1">
      <alignment horizontal="centerContinuous"/>
    </xf>
    <xf numFmtId="0" fontId="5" fillId="0" borderId="33" xfId="2" quotePrefix="1" applyNumberFormat="1" applyFont="1" applyFill="1" applyBorder="1" applyAlignment="1" applyProtection="1">
      <alignment horizontal="center" vertical="center" wrapText="1"/>
    </xf>
    <xf numFmtId="0" fontId="4" fillId="0" borderId="62" xfId="2" applyNumberFormat="1" applyFont="1" applyFill="1" applyBorder="1" applyAlignment="1" applyProtection="1"/>
    <xf numFmtId="0" fontId="4" fillId="0" borderId="38" xfId="2" applyNumberFormat="1" applyFont="1" applyFill="1" applyBorder="1" applyAlignment="1" applyProtection="1"/>
    <xf numFmtId="0" fontId="5" fillId="0" borderId="30" xfId="2" applyNumberFormat="1" applyFont="1" applyFill="1" applyBorder="1" applyAlignment="1" applyProtection="1"/>
    <xf numFmtId="0" fontId="4" fillId="0" borderId="41" xfId="2" applyNumberFormat="1" applyFont="1" applyFill="1" applyBorder="1" applyAlignment="1" applyProtection="1"/>
    <xf numFmtId="0" fontId="4" fillId="0" borderId="33" xfId="2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right"/>
    </xf>
    <xf numFmtId="0" fontId="4" fillId="0" borderId="4" xfId="2" applyNumberFormat="1" applyFont="1" applyFill="1" applyBorder="1" applyAlignment="1" applyProtection="1">
      <alignment horizontal="right"/>
    </xf>
    <xf numFmtId="164" fontId="5" fillId="0" borderId="14" xfId="71" applyNumberFormat="1" applyFont="1" applyFill="1" applyBorder="1" applyAlignment="1" applyProtection="1"/>
    <xf numFmtId="0" fontId="4" fillId="0" borderId="29" xfId="2" applyNumberFormat="1" applyFont="1" applyFill="1" applyBorder="1" applyAlignment="1" applyProtection="1"/>
    <xf numFmtId="0" fontId="4" fillId="0" borderId="18" xfId="2" applyNumberFormat="1" applyFont="1" applyFill="1" applyBorder="1" applyAlignment="1" applyProtection="1">
      <alignment horizontal="right"/>
    </xf>
    <xf numFmtId="0" fontId="5" fillId="0" borderId="4" xfId="2" applyNumberFormat="1" applyFont="1" applyFill="1" applyBorder="1" applyAlignment="1" applyProtection="1"/>
    <xf numFmtId="166" fontId="4" fillId="0" borderId="1" xfId="2" applyNumberFormat="1" applyFont="1" applyFill="1" applyBorder="1" applyAlignment="1" applyProtection="1">
      <alignment horizontal="right"/>
    </xf>
    <xf numFmtId="166" fontId="4" fillId="0" borderId="18" xfId="2" applyNumberFormat="1" applyFont="1" applyFill="1" applyBorder="1" applyAlignment="1" applyProtection="1">
      <alignment horizontal="right"/>
    </xf>
    <xf numFmtId="166" fontId="4" fillId="0" borderId="38" xfId="2" applyNumberFormat="1" applyFont="1" applyFill="1" applyBorder="1" applyAlignment="1" applyProtection="1">
      <alignment horizontal="right"/>
    </xf>
    <xf numFmtId="166" fontId="4" fillId="0" borderId="4" xfId="2" applyNumberFormat="1" applyFont="1" applyFill="1" applyBorder="1" applyAlignment="1" applyProtection="1">
      <alignment horizontal="right"/>
    </xf>
    <xf numFmtId="166" fontId="4" fillId="0" borderId="8" xfId="2" applyNumberFormat="1" applyFont="1" applyFill="1" applyBorder="1" applyAlignment="1" applyProtection="1">
      <alignment horizontal="right"/>
    </xf>
    <xf numFmtId="166" fontId="5" fillId="0" borderId="29" xfId="2" applyNumberFormat="1" applyFont="1" applyFill="1" applyBorder="1" applyAlignment="1" applyProtection="1">
      <alignment horizontal="right"/>
    </xf>
    <xf numFmtId="0" fontId="4" fillId="0" borderId="8" xfId="2" applyNumberFormat="1" applyFont="1" applyFill="1" applyBorder="1" applyAlignment="1" applyProtection="1"/>
    <xf numFmtId="0" fontId="5" fillId="0" borderId="1" xfId="2" applyNumberFormat="1" applyFont="1" applyFill="1" applyBorder="1" applyAlignment="1" applyProtection="1"/>
    <xf numFmtId="0" fontId="5" fillId="0" borderId="50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>
      <alignment horizontal="left"/>
    </xf>
    <xf numFmtId="0" fontId="4" fillId="0" borderId="20" xfId="2" applyNumberFormat="1" applyFont="1" applyFill="1" applyBorder="1" applyAlignment="1" applyProtection="1">
      <alignment horizontal="left"/>
    </xf>
    <xf numFmtId="0" fontId="4" fillId="0" borderId="20" xfId="2" quotePrefix="1" applyNumberFormat="1" applyFont="1" applyFill="1" applyBorder="1" applyAlignment="1" applyProtection="1">
      <alignment horizontal="left"/>
    </xf>
    <xf numFmtId="0" fontId="4" fillId="0" borderId="28" xfId="2" quotePrefix="1" applyNumberFormat="1" applyFont="1" applyFill="1" applyBorder="1" applyAlignment="1" applyProtection="1">
      <alignment horizontal="left"/>
    </xf>
    <xf numFmtId="0" fontId="5" fillId="0" borderId="12" xfId="2" quotePrefix="1" applyNumberFormat="1" applyFont="1" applyFill="1" applyBorder="1" applyAlignment="1" applyProtection="1">
      <alignment horizontal="left"/>
    </xf>
    <xf numFmtId="0" fontId="4" fillId="0" borderId="16" xfId="2" quotePrefix="1" applyNumberFormat="1" applyFont="1" applyFill="1" applyBorder="1" applyAlignment="1" applyProtection="1">
      <alignment horizontal="center"/>
    </xf>
    <xf numFmtId="0" fontId="4" fillId="0" borderId="19" xfId="2" quotePrefix="1" applyNumberFormat="1" applyFont="1" applyFill="1" applyBorder="1" applyAlignment="1" applyProtection="1">
      <alignment horizontal="center"/>
    </xf>
    <xf numFmtId="0" fontId="4" fillId="0" borderId="23" xfId="2" quotePrefix="1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/>
    <xf numFmtId="0" fontId="4" fillId="0" borderId="27" xfId="5" applyNumberFormat="1" applyFont="1" applyFill="1" applyBorder="1" applyAlignment="1" applyProtection="1"/>
    <xf numFmtId="0" fontId="4" fillId="0" borderId="20" xfId="5" applyNumberFormat="1" applyFont="1" applyFill="1" applyBorder="1" applyAlignment="1" applyProtection="1"/>
    <xf numFmtId="0" fontId="4" fillId="0" borderId="28" xfId="5" applyNumberFormat="1" applyFont="1" applyFill="1" applyBorder="1" applyAlignment="1" applyProtection="1"/>
    <xf numFmtId="0" fontId="5" fillId="0" borderId="47" xfId="2" quotePrefix="1" applyNumberFormat="1" applyFont="1" applyFill="1" applyBorder="1" applyAlignment="1" applyProtection="1">
      <alignment horizontal="left"/>
    </xf>
    <xf numFmtId="0" fontId="5" fillId="0" borderId="46" xfId="2" applyNumberFormat="1" applyFont="1" applyFill="1" applyBorder="1" applyAlignment="1" applyProtection="1"/>
    <xf numFmtId="0" fontId="4" fillId="0" borderId="17" xfId="2" quotePrefix="1" applyNumberFormat="1" applyFont="1" applyFill="1" applyBorder="1" applyAlignment="1" applyProtection="1">
      <alignment horizontal="left"/>
    </xf>
    <xf numFmtId="0" fontId="4" fillId="0" borderId="28" xfId="2" applyNumberFormat="1" applyFont="1" applyFill="1" applyBorder="1" applyAlignment="1" applyProtection="1">
      <alignment horizontal="left"/>
    </xf>
    <xf numFmtId="0" fontId="4" fillId="0" borderId="12" xfId="2" applyNumberFormat="1" applyFont="1" applyFill="1" applyBorder="1" applyAlignment="1" applyProtection="1"/>
    <xf numFmtId="0" fontId="5" fillId="0" borderId="47" xfId="2" applyNumberFormat="1" applyFont="1" applyFill="1" applyBorder="1" applyAlignment="1" applyProtection="1"/>
    <xf numFmtId="0" fontId="4" fillId="0" borderId="14" xfId="2" quotePrefix="1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/>
    <xf numFmtId="0" fontId="4" fillId="0" borderId="20" xfId="2" applyNumberFormat="1" applyFont="1" applyFill="1" applyBorder="1" applyAlignment="1" applyProtection="1"/>
    <xf numFmtId="0" fontId="4" fillId="0" borderId="24" xfId="2" applyNumberFormat="1" applyFont="1" applyFill="1" applyBorder="1" applyAlignment="1" applyProtection="1">
      <alignment horizontal="left"/>
    </xf>
    <xf numFmtId="0" fontId="4" fillId="0" borderId="27" xfId="2" quotePrefix="1" applyNumberFormat="1" applyFont="1" applyFill="1" applyBorder="1" applyAlignment="1" applyProtection="1">
      <alignment horizontal="left"/>
    </xf>
    <xf numFmtId="0" fontId="4" fillId="0" borderId="44" xfId="2" applyNumberFormat="1" applyFont="1" applyFill="1" applyBorder="1" applyAlignment="1" applyProtection="1"/>
    <xf numFmtId="0" fontId="4" fillId="0" borderId="45" xfId="2" applyNumberFormat="1" applyFont="1" applyFill="1" applyBorder="1" applyAlignment="1" applyProtection="1"/>
    <xf numFmtId="0" fontId="5" fillId="0" borderId="47" xfId="2" applyNumberFormat="1" applyFont="1" applyFill="1" applyBorder="1" applyAlignment="1" applyProtection="1">
      <alignment horizontal="left"/>
    </xf>
    <xf numFmtId="0" fontId="4" fillId="0" borderId="23" xfId="2" quotePrefix="1" applyNumberFormat="1" applyFont="1" applyFill="1" applyBorder="1" applyAlignment="1" applyProtection="1"/>
    <xf numFmtId="0" fontId="5" fillId="0" borderId="46" xfId="2" quotePrefix="1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>
      <alignment wrapText="1"/>
    </xf>
    <xf numFmtId="0" fontId="4" fillId="0" borderId="20" xfId="2" applyNumberFormat="1" applyFont="1" applyFill="1" applyBorder="1" applyAlignment="1" applyProtection="1">
      <alignment horizontal="left" wrapText="1"/>
    </xf>
    <xf numFmtId="0" fontId="4" fillId="0" borderId="20" xfId="2" applyNumberFormat="1" applyFont="1" applyFill="1" applyBorder="1" applyAlignment="1" applyProtection="1">
      <alignment wrapText="1"/>
    </xf>
    <xf numFmtId="0" fontId="4" fillId="0" borderId="20" xfId="2" quotePrefix="1" applyNumberFormat="1" applyFont="1" applyFill="1" applyBorder="1" applyAlignment="1" applyProtection="1">
      <alignment horizontal="left" wrapText="1"/>
    </xf>
    <xf numFmtId="0" fontId="4" fillId="0" borderId="16" xfId="2" applyNumberFormat="1" applyFont="1" applyFill="1" applyBorder="1" applyAlignment="1" applyProtection="1">
      <alignment horizontal="center"/>
    </xf>
    <xf numFmtId="0" fontId="4" fillId="0" borderId="24" xfId="2" quotePrefix="1" applyNumberFormat="1" applyFont="1" applyFill="1" applyBorder="1" applyAlignment="1" applyProtection="1">
      <alignment horizontal="left"/>
    </xf>
    <xf numFmtId="0" fontId="4" fillId="0" borderId="28" xfId="2" applyNumberFormat="1" applyFont="1" applyFill="1" applyBorder="1" applyAlignment="1" applyProtection="1"/>
    <xf numFmtId="0" fontId="4" fillId="0" borderId="37" xfId="2" quotePrefix="1" applyNumberFormat="1" applyFont="1" applyFill="1" applyBorder="1" applyAlignment="1" applyProtection="1">
      <alignment horizontal="center"/>
    </xf>
    <xf numFmtId="0" fontId="4" fillId="0" borderId="23" xfId="2" applyNumberFormat="1" applyFont="1" applyFill="1" applyBorder="1" applyAlignment="1" applyProtection="1">
      <alignment horizontal="center"/>
    </xf>
    <xf numFmtId="0" fontId="5" fillId="0" borderId="28" xfId="2" quotePrefix="1" applyNumberFormat="1" applyFont="1" applyFill="1" applyBorder="1" applyAlignment="1" applyProtection="1">
      <alignment horizontal="left"/>
    </xf>
    <xf numFmtId="0" fontId="5" fillId="0" borderId="27" xfId="2" applyNumberFormat="1" applyFont="1" applyFill="1" applyBorder="1" applyAlignment="1" applyProtection="1">
      <alignment horizontal="left"/>
    </xf>
    <xf numFmtId="0" fontId="4" fillId="0" borderId="17" xfId="2" applyNumberFormat="1" applyFont="1" applyFill="1" applyBorder="1" applyAlignment="1" applyProtection="1">
      <alignment horizontal="left"/>
    </xf>
    <xf numFmtId="0" fontId="4" fillId="0" borderId="34" xfId="2" quotePrefix="1" applyNumberFormat="1" applyFont="1" applyFill="1" applyBorder="1" applyAlignment="1" applyProtection="1">
      <alignment horizontal="center"/>
    </xf>
    <xf numFmtId="0" fontId="5" fillId="0" borderId="34" xfId="2" quotePrefix="1" applyNumberFormat="1" applyFont="1" applyFill="1" applyBorder="1" applyAlignment="1" applyProtection="1">
      <alignment horizontal="center"/>
    </xf>
    <xf numFmtId="0" fontId="5" fillId="0" borderId="12" xfId="2" applyNumberFormat="1" applyFont="1" applyFill="1" applyBorder="1" applyAlignment="1" applyProtection="1">
      <alignment horizontal="left"/>
    </xf>
    <xf numFmtId="0" fontId="4" fillId="0" borderId="40" xfId="2" applyNumberFormat="1" applyFont="1" applyFill="1" applyBorder="1" applyAlignment="1" applyProtection="1">
      <alignment horizontal="left"/>
    </xf>
    <xf numFmtId="0" fontId="4" fillId="0" borderId="47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left"/>
    </xf>
    <xf numFmtId="0" fontId="4" fillId="2" borderId="19" xfId="2" applyNumberFormat="1" applyFont="1" applyFill="1" applyBorder="1" applyAlignment="1" applyProtection="1">
      <alignment horizontal="center"/>
    </xf>
    <xf numFmtId="0" fontId="4" fillId="2" borderId="23" xfId="2" applyNumberFormat="1" applyFont="1" applyFill="1" applyBorder="1" applyAlignment="1" applyProtection="1">
      <alignment horizontal="center"/>
    </xf>
    <xf numFmtId="0" fontId="5" fillId="0" borderId="16" xfId="2" quotePrefix="1" applyNumberFormat="1" applyFont="1" applyFill="1" applyBorder="1" applyAlignment="1" applyProtection="1">
      <alignment horizontal="center"/>
    </xf>
    <xf numFmtId="0" fontId="4" fillId="2" borderId="19" xfId="2" quotePrefix="1" applyNumberFormat="1" applyFont="1" applyFill="1" applyBorder="1" applyAlignment="1" applyProtection="1">
      <alignment horizontal="center"/>
    </xf>
    <xf numFmtId="0" fontId="4" fillId="0" borderId="46" xfId="2" quotePrefix="1" applyNumberFormat="1" applyFont="1" applyFill="1" applyBorder="1" applyAlignment="1" applyProtection="1">
      <alignment horizontal="center"/>
    </xf>
    <xf numFmtId="0" fontId="5" fillId="0" borderId="49" xfId="2" quotePrefix="1" applyNumberFormat="1" applyFont="1" applyFill="1" applyBorder="1" applyAlignment="1" applyProtection="1">
      <alignment horizontal="center"/>
    </xf>
    <xf numFmtId="0" fontId="4" fillId="0" borderId="24" xfId="2" applyNumberFormat="1" applyFont="1" applyFill="1" applyBorder="1" applyAlignment="1" applyProtection="1"/>
    <xf numFmtId="0" fontId="4" fillId="0" borderId="20" xfId="2" quotePrefix="1" applyNumberFormat="1" applyFont="1" applyFill="1" applyBorder="1" applyAlignment="1" applyProtection="1">
      <alignment vertical="center" wrapText="1"/>
    </xf>
    <xf numFmtId="0" fontId="7" fillId="0" borderId="0" xfId="2" applyNumberFormat="1" applyFont="1" applyFill="1" applyAlignment="1" applyProtection="1">
      <alignment horizontal="center"/>
    </xf>
    <xf numFmtId="0" fontId="4" fillId="0" borderId="57" xfId="2" applyNumberFormat="1" applyFont="1" applyFill="1" applyBorder="1" applyAlignment="1" applyProtection="1"/>
    <xf numFmtId="0" fontId="4" fillId="0" borderId="59" xfId="2" applyNumberFormat="1" applyFont="1" applyFill="1" applyBorder="1" applyAlignment="1" applyProtection="1"/>
    <xf numFmtId="0" fontId="4" fillId="0" borderId="56" xfId="2" applyNumberFormat="1" applyFont="1" applyFill="1" applyBorder="1" applyAlignment="1" applyProtection="1">
      <alignment horizontal="center"/>
    </xf>
    <xf numFmtId="0" fontId="4" fillId="0" borderId="58" xfId="2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>
      <alignment horizontal="left" wrapText="1"/>
    </xf>
    <xf numFmtId="0" fontId="4" fillId="0" borderId="23" xfId="2" applyNumberFormat="1" applyFont="1" applyFill="1" applyBorder="1" applyAlignment="1" applyProtection="1">
      <alignment horizontal="left" wrapText="1"/>
    </xf>
    <xf numFmtId="0" fontId="2" fillId="0" borderId="0" xfId="75"/>
    <xf numFmtId="0" fontId="3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quotePrefix="1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/>
    <xf numFmtId="0" fontId="6" fillId="0" borderId="0" xfId="2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164" fontId="4" fillId="0" borderId="9" xfId="72" applyNumberFormat="1" applyFont="1" applyFill="1" applyBorder="1" applyAlignment="1" applyProtection="1">
      <alignment horizontal="right"/>
    </xf>
    <xf numFmtId="164" fontId="4" fillId="0" borderId="10" xfId="72" applyNumberFormat="1" applyFont="1" applyFill="1" applyBorder="1" applyAlignment="1" applyProtection="1">
      <alignment horizontal="center"/>
    </xf>
    <xf numFmtId="0" fontId="4" fillId="0" borderId="18" xfId="2" quotePrefix="1" applyNumberFormat="1" applyFont="1" applyFill="1" applyBorder="1" applyAlignment="1" applyProtection="1">
      <alignment horizontal="center"/>
    </xf>
    <xf numFmtId="164" fontId="4" fillId="0" borderId="21" xfId="72" applyNumberFormat="1" applyFont="1" applyFill="1" applyBorder="1" applyAlignment="1" applyProtection="1">
      <alignment horizontal="right"/>
    </xf>
    <xf numFmtId="164" fontId="4" fillId="0" borderId="22" xfId="72" applyNumberFormat="1" applyFont="1" applyFill="1" applyBorder="1" applyAlignment="1" applyProtection="1">
      <alignment horizontal="center"/>
    </xf>
    <xf numFmtId="164" fontId="4" fillId="0" borderId="25" xfId="72" applyNumberFormat="1" applyFont="1" applyFill="1" applyBorder="1" applyAlignment="1" applyProtection="1">
      <alignment horizontal="right"/>
    </xf>
    <xf numFmtId="164" fontId="4" fillId="0" borderId="26" xfId="72" applyNumberFormat="1" applyFont="1" applyFill="1" applyBorder="1" applyAlignment="1" applyProtection="1">
      <alignment horizontal="center"/>
    </xf>
    <xf numFmtId="0" fontId="4" fillId="0" borderId="1" xfId="2" quotePrefix="1" applyNumberFormat="1" applyFont="1" applyFill="1" applyBorder="1" applyAlignment="1" applyProtection="1">
      <alignment horizontal="center"/>
    </xf>
    <xf numFmtId="164" fontId="4" fillId="0" borderId="2" xfId="72" applyNumberFormat="1" applyFont="1" applyFill="1" applyBorder="1" applyAlignment="1" applyProtection="1">
      <alignment horizontal="right"/>
    </xf>
    <xf numFmtId="164" fontId="4" fillId="0" borderId="3" xfId="72" applyNumberFormat="1" applyFont="1" applyFill="1" applyBorder="1" applyAlignment="1" applyProtection="1">
      <alignment horizontal="center"/>
    </xf>
    <xf numFmtId="164" fontId="4" fillId="0" borderId="5" xfId="72" applyNumberFormat="1" applyFont="1" applyFill="1" applyBorder="1" applyAlignment="1" applyProtection="1">
      <alignment horizontal="right"/>
    </xf>
    <xf numFmtId="164" fontId="4" fillId="0" borderId="6" xfId="72" applyNumberFormat="1" applyFont="1" applyFill="1" applyBorder="1" applyAlignment="1" applyProtection="1">
      <alignment horizontal="center"/>
    </xf>
    <xf numFmtId="0" fontId="5" fillId="0" borderId="29" xfId="2" applyNumberFormat="1" applyFont="1" applyFill="1" applyBorder="1" applyAlignment="1" applyProtection="1"/>
    <xf numFmtId="0" fontId="5" fillId="0" borderId="31" xfId="3" applyNumberFormat="1" applyFont="1" applyFill="1" applyBorder="1" applyAlignment="1" applyProtection="1">
      <alignment horizontal="center"/>
    </xf>
    <xf numFmtId="164" fontId="5" fillId="0" borderId="32" xfId="7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horizontal="center"/>
    </xf>
    <xf numFmtId="164" fontId="5" fillId="0" borderId="0" xfId="72" applyNumberFormat="1" applyFont="1" applyFill="1" applyBorder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/>
    <xf numFmtId="0" fontId="5" fillId="0" borderId="15" xfId="2" applyNumberFormat="1" applyFont="1" applyFill="1" applyBorder="1" applyAlignment="1" applyProtection="1">
      <alignment horizontal="left"/>
    </xf>
    <xf numFmtId="0" fontId="5" fillId="2" borderId="15" xfId="2" applyNumberFormat="1" applyFont="1" applyFill="1" applyBorder="1" applyAlignment="1" applyProtection="1"/>
    <xf numFmtId="164" fontId="5" fillId="0" borderId="13" xfId="2" applyNumberFormat="1" applyFont="1" applyFill="1" applyBorder="1" applyAlignment="1" applyProtection="1"/>
    <xf numFmtId="0" fontId="4" fillId="2" borderId="9" xfId="2" applyNumberFormat="1" applyFont="1" applyFill="1" applyBorder="1" applyAlignment="1" applyProtection="1"/>
    <xf numFmtId="164" fontId="4" fillId="0" borderId="35" xfId="72" applyNumberFormat="1" applyFont="1" applyFill="1" applyBorder="1" applyAlignment="1" applyProtection="1"/>
    <xf numFmtId="0" fontId="4" fillId="0" borderId="56" xfId="2" quotePrefix="1" applyNumberFormat="1" applyFont="1" applyFill="1" applyBorder="1" applyAlignment="1" applyProtection="1">
      <alignment horizontal="center"/>
    </xf>
    <xf numFmtId="0" fontId="4" fillId="2" borderId="21" xfId="2" applyNumberFormat="1" applyFont="1" applyFill="1" applyBorder="1" applyAlignment="1" applyProtection="1"/>
    <xf numFmtId="164" fontId="4" fillId="0" borderId="36" xfId="72" applyNumberFormat="1" applyFont="1" applyFill="1" applyBorder="1" applyAlignment="1" applyProtection="1"/>
    <xf numFmtId="0" fontId="4" fillId="2" borderId="25" xfId="2" applyNumberFormat="1" applyFont="1" applyFill="1" applyBorder="1" applyAlignment="1" applyProtection="1"/>
    <xf numFmtId="164" fontId="4" fillId="0" borderId="39" xfId="72" applyNumberFormat="1" applyFont="1" applyFill="1" applyBorder="1" applyAlignment="1" applyProtection="1"/>
    <xf numFmtId="0" fontId="4" fillId="2" borderId="42" xfId="2" applyNumberFormat="1" applyFont="1" applyFill="1" applyBorder="1" applyAlignment="1" applyProtection="1"/>
    <xf numFmtId="164" fontId="4" fillId="0" borderId="43" xfId="72" applyNumberFormat="1" applyFont="1" applyFill="1" applyBorder="1" applyAlignment="1" applyProtection="1"/>
    <xf numFmtId="0" fontId="4" fillId="2" borderId="2" xfId="2" applyNumberFormat="1" applyFont="1" applyFill="1" applyBorder="1" applyAlignment="1" applyProtection="1"/>
    <xf numFmtId="164" fontId="4" fillId="0" borderId="44" xfId="72" applyNumberFormat="1" applyFont="1" applyFill="1" applyBorder="1" applyAlignment="1" applyProtection="1"/>
    <xf numFmtId="0" fontId="4" fillId="2" borderId="5" xfId="2" applyNumberFormat="1" applyFont="1" applyFill="1" applyBorder="1" applyAlignment="1" applyProtection="1"/>
    <xf numFmtId="164" fontId="4" fillId="0" borderId="45" xfId="72" applyNumberFormat="1" applyFont="1" applyFill="1" applyBorder="1" applyAlignment="1" applyProtection="1"/>
    <xf numFmtId="0" fontId="5" fillId="2" borderId="2" xfId="2" applyNumberFormat="1" applyFont="1" applyFill="1" applyBorder="1" applyAlignment="1" applyProtection="1"/>
    <xf numFmtId="164" fontId="5" fillId="0" borderId="44" xfId="72" applyNumberFormat="1" applyFont="1" applyFill="1" applyBorder="1" applyAlignment="1" applyProtection="1"/>
    <xf numFmtId="0" fontId="5" fillId="2" borderId="51" xfId="2" applyNumberFormat="1" applyFont="1" applyFill="1" applyBorder="1" applyAlignment="1" applyProtection="1"/>
    <xf numFmtId="164" fontId="5" fillId="0" borderId="7" xfId="72" applyNumberFormat="1" applyFont="1" applyFill="1" applyBorder="1" applyAlignment="1" applyProtection="1"/>
    <xf numFmtId="0" fontId="5" fillId="0" borderId="11" xfId="2" applyNumberFormat="1" applyFont="1" applyFill="1" applyBorder="1" applyAlignment="1" applyProtection="1"/>
    <xf numFmtId="164" fontId="5" fillId="0" borderId="13" xfId="72" applyNumberFormat="1" applyFont="1" applyFill="1" applyBorder="1" applyAlignment="1" applyProtection="1"/>
    <xf numFmtId="0" fontId="5" fillId="0" borderId="33" xfId="2" applyNumberFormat="1" applyFont="1" applyFill="1" applyBorder="1" applyAlignment="1" applyProtection="1">
      <alignment horizontal="center" vertical="center" wrapText="1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0" fontId="5" fillId="2" borderId="15" xfId="2" applyNumberFormat="1" applyFont="1" applyFill="1" applyBorder="1" applyAlignment="1" applyProtection="1">
      <alignment horizontal="center" vertical="center" wrapText="1"/>
    </xf>
    <xf numFmtId="0" fontId="5" fillId="0" borderId="52" xfId="2" applyNumberFormat="1" applyFont="1" applyFill="1" applyBorder="1" applyAlignment="1" applyProtection="1">
      <alignment horizontal="center" vertical="center" wrapText="1"/>
    </xf>
    <xf numFmtId="164" fontId="4" fillId="0" borderId="10" xfId="72" applyNumberFormat="1" applyFont="1" applyFill="1" applyBorder="1" applyAlignment="1" applyProtection="1"/>
    <xf numFmtId="164" fontId="4" fillId="0" borderId="22" xfId="72" applyNumberFormat="1" applyFont="1" applyFill="1" applyBorder="1" applyAlignment="1" applyProtection="1"/>
    <xf numFmtId="164" fontId="4" fillId="0" borderId="26" xfId="72" applyNumberFormat="1" applyFont="1" applyFill="1" applyBorder="1" applyAlignment="1" applyProtection="1"/>
    <xf numFmtId="0" fontId="5" fillId="0" borderId="33" xfId="2" applyNumberFormat="1" applyFont="1" applyFill="1" applyBorder="1" applyAlignment="1" applyProtection="1"/>
    <xf numFmtId="164" fontId="5" fillId="0" borderId="52" xfId="72" applyNumberFormat="1" applyFont="1" applyFill="1" applyBorder="1" applyAlignment="1" applyProtection="1"/>
    <xf numFmtId="166" fontId="4" fillId="0" borderId="2" xfId="2" applyNumberFormat="1" applyFont="1" applyFill="1" applyBorder="1" applyAlignment="1" applyProtection="1">
      <alignment horizontal="right"/>
    </xf>
    <xf numFmtId="166" fontId="4" fillId="0" borderId="44" xfId="2" applyNumberFormat="1" applyFont="1" applyFill="1" applyBorder="1" applyAlignment="1" applyProtection="1">
      <alignment horizontal="right"/>
    </xf>
    <xf numFmtId="164" fontId="4" fillId="0" borderId="44" xfId="72" applyNumberFormat="1" applyFont="1" applyFill="1" applyBorder="1" applyAlignment="1" applyProtection="1">
      <alignment horizontal="right"/>
    </xf>
    <xf numFmtId="166" fontId="4" fillId="0" borderId="21" xfId="2" applyNumberFormat="1" applyFont="1" applyFill="1" applyBorder="1" applyAlignment="1" applyProtection="1">
      <alignment horizontal="right"/>
    </xf>
    <xf numFmtId="166" fontId="4" fillId="0" borderId="36" xfId="2" applyNumberFormat="1" applyFont="1" applyFill="1" applyBorder="1" applyAlignment="1" applyProtection="1">
      <alignment horizontal="right"/>
    </xf>
    <xf numFmtId="164" fontId="4" fillId="0" borderId="36" xfId="72" applyNumberFormat="1" applyFont="1" applyFill="1" applyBorder="1" applyAlignment="1" applyProtection="1">
      <alignment horizontal="right"/>
    </xf>
    <xf numFmtId="166" fontId="4" fillId="0" borderId="25" xfId="2" applyNumberFormat="1" applyFont="1" applyFill="1" applyBorder="1" applyAlignment="1" applyProtection="1">
      <alignment horizontal="right"/>
    </xf>
    <xf numFmtId="166" fontId="4" fillId="0" borderId="39" xfId="2" applyNumberFormat="1" applyFont="1" applyFill="1" applyBorder="1" applyAlignment="1" applyProtection="1">
      <alignment horizontal="right"/>
    </xf>
    <xf numFmtId="164" fontId="4" fillId="0" borderId="39" xfId="72" applyNumberFormat="1" applyFont="1" applyFill="1" applyBorder="1" applyAlignment="1" applyProtection="1">
      <alignment horizontal="right"/>
    </xf>
    <xf numFmtId="0" fontId="4" fillId="0" borderId="58" xfId="2" quotePrefix="1" applyNumberFormat="1" applyFont="1" applyFill="1" applyBorder="1" applyAlignment="1" applyProtection="1">
      <alignment horizontal="center"/>
    </xf>
    <xf numFmtId="166" fontId="4" fillId="0" borderId="5" xfId="2" applyNumberFormat="1" applyFont="1" applyFill="1" applyBorder="1" applyAlignment="1" applyProtection="1">
      <alignment horizontal="right"/>
    </xf>
    <xf numFmtId="166" fontId="4" fillId="0" borderId="45" xfId="2" applyNumberFormat="1" applyFont="1" applyFill="1" applyBorder="1" applyAlignment="1" applyProtection="1">
      <alignment horizontal="right"/>
    </xf>
    <xf numFmtId="164" fontId="4" fillId="0" borderId="45" xfId="72" applyNumberFormat="1" applyFont="1" applyFill="1" applyBorder="1" applyAlignment="1" applyProtection="1">
      <alignment horizontal="right"/>
    </xf>
    <xf numFmtId="166" fontId="4" fillId="0" borderId="9" xfId="2" applyNumberFormat="1" applyFont="1" applyFill="1" applyBorder="1" applyAlignment="1" applyProtection="1">
      <alignment horizontal="right"/>
    </xf>
    <xf numFmtId="166" fontId="4" fillId="0" borderId="35" xfId="2" applyNumberFormat="1" applyFont="1" applyFill="1" applyBorder="1" applyAlignment="1" applyProtection="1">
      <alignment horizontal="right"/>
    </xf>
    <xf numFmtId="164" fontId="4" fillId="0" borderId="35" xfId="72" applyNumberFormat="1" applyFont="1" applyFill="1" applyBorder="1" applyAlignment="1" applyProtection="1">
      <alignment horizontal="right"/>
    </xf>
    <xf numFmtId="0" fontId="5" fillId="0" borderId="55" xfId="2" applyNumberFormat="1" applyFont="1" applyFill="1" applyBorder="1" applyAlignment="1" applyProtection="1"/>
    <xf numFmtId="166" fontId="5" fillId="0" borderId="31" xfId="2" applyNumberFormat="1" applyFont="1" applyFill="1" applyBorder="1" applyAlignment="1" applyProtection="1"/>
    <xf numFmtId="166" fontId="5" fillId="0" borderId="48" xfId="2" applyNumberFormat="1" applyFont="1" applyFill="1" applyBorder="1" applyAlignment="1" applyProtection="1"/>
    <xf numFmtId="164" fontId="5" fillId="0" borderId="48" xfId="72" applyNumberFormat="1" applyFont="1" applyFill="1" applyBorder="1" applyAlignment="1" applyProtection="1">
      <alignment horizontal="right"/>
    </xf>
    <xf numFmtId="164" fontId="4" fillId="0" borderId="2" xfId="72" applyNumberFormat="1" applyFont="1" applyFill="1" applyBorder="1" applyAlignment="1" applyProtection="1"/>
    <xf numFmtId="164" fontId="4" fillId="0" borderId="3" xfId="72" applyNumberFormat="1" applyFont="1" applyFill="1" applyBorder="1" applyAlignment="1" applyProtection="1"/>
    <xf numFmtId="164" fontId="4" fillId="0" borderId="25" xfId="72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>
      <alignment horizontal="left"/>
    </xf>
    <xf numFmtId="164" fontId="5" fillId="0" borderId="14" xfId="72" applyNumberFormat="1" applyFont="1" applyFill="1" applyBorder="1" applyAlignment="1" applyProtection="1">
      <alignment horizontal="center"/>
    </xf>
    <xf numFmtId="164" fontId="4" fillId="0" borderId="3" xfId="72" applyNumberFormat="1" applyFont="1" applyFill="1" applyBorder="1" applyAlignment="1" applyProtection="1">
      <alignment horizontal="right"/>
    </xf>
    <xf numFmtId="164" fontId="4" fillId="0" borderId="22" xfId="72" applyNumberFormat="1" applyFont="1" applyFill="1" applyBorder="1" applyAlignment="1" applyProtection="1">
      <alignment horizontal="right"/>
    </xf>
    <xf numFmtId="164" fontId="5" fillId="2" borderId="5" xfId="72" applyNumberFormat="1" applyFont="1" applyFill="1" applyBorder="1" applyAlignment="1" applyProtection="1">
      <alignment horizontal="right"/>
    </xf>
    <xf numFmtId="164" fontId="5" fillId="0" borderId="6" xfId="72" applyNumberFormat="1" applyFont="1" applyFill="1" applyBorder="1" applyAlignment="1" applyProtection="1">
      <alignment horizontal="right"/>
    </xf>
    <xf numFmtId="164" fontId="4" fillId="2" borderId="31" xfId="72" applyNumberFormat="1" applyFont="1" applyFill="1" applyBorder="1" applyAlignment="1" applyProtection="1">
      <alignment horizontal="right"/>
    </xf>
    <xf numFmtId="164" fontId="5" fillId="0" borderId="32" xfId="72" applyNumberFormat="1" applyFont="1" applyFill="1" applyBorder="1" applyAlignment="1" applyProtection="1">
      <alignment horizontal="right"/>
    </xf>
    <xf numFmtId="164" fontId="4" fillId="0" borderId="6" xfId="72" applyNumberFormat="1" applyFont="1" applyFill="1" applyBorder="1" applyAlignment="1" applyProtection="1">
      <alignment horizontal="right"/>
    </xf>
    <xf numFmtId="0" fontId="5" fillId="0" borderId="55" xfId="2" quotePrefix="1" applyNumberFormat="1" applyFont="1" applyFill="1" applyBorder="1" applyAlignment="1" applyProtection="1">
      <alignment horizontal="left"/>
    </xf>
    <xf numFmtId="0" fontId="5" fillId="0" borderId="55" xfId="2" applyNumberFormat="1" applyFont="1" applyFill="1" applyBorder="1" applyAlignment="1" applyProtection="1">
      <alignment horizontal="right"/>
    </xf>
    <xf numFmtId="164" fontId="4" fillId="2" borderId="55" xfId="72" applyNumberFormat="1" applyFont="1" applyFill="1" applyBorder="1" applyAlignment="1" applyProtection="1">
      <alignment horizontal="right"/>
    </xf>
    <xf numFmtId="164" fontId="5" fillId="0" borderId="46" xfId="72" applyNumberFormat="1" applyFont="1" applyFill="1" applyBorder="1" applyAlignment="1" applyProtection="1">
      <alignment horizontal="right"/>
    </xf>
    <xf numFmtId="164" fontId="4" fillId="0" borderId="32" xfId="72" applyNumberFormat="1" applyFont="1" applyFill="1" applyBorder="1" applyAlignment="1" applyProtection="1">
      <alignment horizontal="right"/>
    </xf>
    <xf numFmtId="164" fontId="4" fillId="2" borderId="21" xfId="72" applyNumberFormat="1" applyFont="1" applyFill="1" applyBorder="1" applyAlignment="1" applyProtection="1">
      <alignment horizontal="right"/>
    </xf>
    <xf numFmtId="164" fontId="4" fillId="3" borderId="44" xfId="72" applyNumberFormat="1" applyFont="1" applyFill="1" applyBorder="1" applyAlignment="1" applyProtection="1">
      <protection locked="0"/>
    </xf>
    <xf numFmtId="0" fontId="4" fillId="0" borderId="0" xfId="2" applyNumberFormat="1" applyFont="1" applyFill="1" applyAlignment="1" applyProtection="1">
      <alignment horizontal="right"/>
    </xf>
    <xf numFmtId="164" fontId="4" fillId="3" borderId="45" xfId="72" applyNumberFormat="1" applyFont="1" applyFill="1" applyBorder="1" applyAlignment="1" applyProtection="1">
      <protection locked="0"/>
    </xf>
    <xf numFmtId="0" fontId="6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quotePrefix="1" applyNumberFormat="1" applyFont="1" applyFill="1" applyBorder="1" applyAlignment="1" applyProtection="1">
      <alignment horizontal="left"/>
    </xf>
    <xf numFmtId="0" fontId="4" fillId="0" borderId="15" xfId="2" applyNumberFormat="1" applyFont="1" applyFill="1" applyBorder="1" applyAlignment="1" applyProtection="1">
      <alignment horizontal="right"/>
    </xf>
    <xf numFmtId="164" fontId="4" fillId="2" borderId="15" xfId="72" applyNumberFormat="1" applyFont="1" applyFill="1" applyBorder="1" applyAlignment="1" applyProtection="1">
      <alignment horizontal="right"/>
    </xf>
    <xf numFmtId="164" fontId="4" fillId="0" borderId="52" xfId="72" applyNumberFormat="1" applyFont="1" applyFill="1" applyBorder="1" applyAlignment="1" applyProtection="1">
      <alignment horizontal="right"/>
    </xf>
    <xf numFmtId="164" fontId="4" fillId="0" borderId="26" xfId="72" applyNumberFormat="1" applyFont="1" applyFill="1" applyBorder="1" applyAlignment="1" applyProtection="1">
      <alignment horizontal="right"/>
    </xf>
    <xf numFmtId="164" fontId="4" fillId="0" borderId="10" xfId="72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 applyProtection="1"/>
    <xf numFmtId="164" fontId="4" fillId="0" borderId="15" xfId="7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4" applyNumberFormat="1" applyFont="1" applyFill="1" applyAlignment="1" applyProtection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63" xfId="2" applyNumberFormat="1" applyFont="1" applyFill="1" applyBorder="1" applyAlignment="1" applyProtection="1">
      <alignment horizontal="center"/>
    </xf>
    <xf numFmtId="164" fontId="5" fillId="0" borderId="52" xfId="72" applyNumberFormat="1" applyFont="1" applyFill="1" applyBorder="1" applyAlignment="1" applyProtection="1">
      <alignment horizontal="right"/>
    </xf>
    <xf numFmtId="164" fontId="4" fillId="0" borderId="13" xfId="72" applyNumberFormat="1" applyFont="1" applyFill="1" applyBorder="1" applyAlignment="1" applyProtection="1">
      <alignment horizontal="right"/>
    </xf>
    <xf numFmtId="0" fontId="4" fillId="0" borderId="1" xfId="2" quotePrefix="1" applyNumberFormat="1" applyFont="1" applyFill="1" applyBorder="1" applyAlignment="1" applyProtection="1">
      <alignment horizontal="left"/>
    </xf>
    <xf numFmtId="0" fontId="4" fillId="0" borderId="18" xfId="2" applyNumberFormat="1" applyFont="1" applyFill="1" applyBorder="1" applyAlignment="1" applyProtection="1"/>
    <xf numFmtId="0" fontId="4" fillId="0" borderId="18" xfId="2" applyNumberFormat="1" applyFont="1" applyFill="1" applyBorder="1" applyAlignment="1" applyProtection="1">
      <alignment horizontal="left"/>
    </xf>
    <xf numFmtId="0" fontId="5" fillId="0" borderId="4" xfId="2" quotePrefix="1" applyNumberFormat="1" applyFont="1" applyFill="1" applyBorder="1" applyAlignment="1" applyProtection="1">
      <alignment horizontal="left"/>
    </xf>
    <xf numFmtId="0" fontId="4" fillId="0" borderId="1" xfId="2" applyNumberFormat="1" applyFont="1" applyFill="1" applyBorder="1" applyAlignment="1" applyProtection="1"/>
    <xf numFmtId="0" fontId="4" fillId="0" borderId="18" xfId="2" quotePrefix="1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Continuous"/>
    </xf>
    <xf numFmtId="0" fontId="4" fillId="2" borderId="31" xfId="2" applyNumberFormat="1" applyFont="1" applyFill="1" applyBorder="1" applyAlignment="1" applyProtection="1"/>
    <xf numFmtId="164" fontId="4" fillId="0" borderId="48" xfId="72" applyNumberFormat="1" applyFont="1" applyFill="1" applyBorder="1" applyAlignment="1" applyProtection="1"/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54" xfId="2" quotePrefix="1" applyNumberFormat="1" applyFont="1" applyFill="1" applyBorder="1" applyAlignment="1" applyProtection="1">
      <alignment horizontal="left"/>
    </xf>
    <xf numFmtId="0" fontId="5" fillId="0" borderId="54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/>
    <xf numFmtId="0" fontId="5" fillId="0" borderId="30" xfId="2" quotePrefix="1" applyNumberFormat="1" applyFont="1" applyFill="1" applyBorder="1" applyAlignment="1" applyProtection="1">
      <alignment horizontal="left"/>
    </xf>
    <xf numFmtId="0" fontId="4" fillId="0" borderId="60" xfId="2" applyNumberFormat="1" applyFont="1" applyFill="1" applyBorder="1" applyAlignment="1" applyProtection="1"/>
    <xf numFmtId="0" fontId="4" fillId="0" borderId="61" xfId="2" applyNumberFormat="1" applyFont="1" applyFill="1" applyBorder="1" applyAlignment="1" applyProtection="1"/>
    <xf numFmtId="0" fontId="5" fillId="0" borderId="62" xfId="2" applyNumberFormat="1" applyFont="1" applyFill="1" applyBorder="1" applyAlignment="1" applyProtection="1"/>
    <xf numFmtId="0" fontId="4" fillId="0" borderId="60" xfId="2" applyNumberFormat="1" applyFont="1" applyFill="1" applyBorder="1" applyAlignment="1" applyProtection="1">
      <alignment horizontal="left"/>
    </xf>
    <xf numFmtId="0" fontId="4" fillId="0" borderId="61" xfId="2" applyNumberFormat="1" applyFont="1" applyFill="1" applyBorder="1" applyAlignment="1" applyProtection="1">
      <alignment horizontal="left"/>
    </xf>
    <xf numFmtId="0" fontId="4" fillId="0" borderId="62" xfId="2" applyNumberFormat="1" applyFont="1" applyFill="1" applyBorder="1" applyAlignment="1" applyProtection="1">
      <alignment horizontal="left"/>
    </xf>
    <xf numFmtId="164" fontId="4" fillId="4" borderId="16" xfId="72" applyNumberFormat="1" applyFont="1" applyFill="1" applyBorder="1" applyAlignment="1" applyProtection="1">
      <alignment horizontal="right"/>
      <protection locked="0"/>
    </xf>
    <xf numFmtId="164" fontId="4" fillId="4" borderId="19" xfId="72" applyNumberFormat="1" applyFont="1" applyFill="1" applyBorder="1" applyAlignment="1" applyProtection="1">
      <alignment horizontal="right"/>
      <protection locked="0"/>
    </xf>
    <xf numFmtId="164" fontId="5" fillId="0" borderId="23" xfId="72" applyNumberFormat="1" applyFont="1" applyFill="1" applyBorder="1" applyAlignment="1" applyProtection="1">
      <alignment horizontal="right"/>
    </xf>
    <xf numFmtId="164" fontId="4" fillId="4" borderId="23" xfId="72" applyNumberFormat="1" applyFont="1" applyFill="1" applyBorder="1" applyAlignment="1" applyProtection="1">
      <alignment horizontal="right"/>
      <protection locked="0"/>
    </xf>
    <xf numFmtId="0" fontId="5" fillId="0" borderId="11" xfId="2" applyNumberFormat="1" applyFont="1" applyFill="1" applyBorder="1" applyAlignment="1" applyProtection="1">
      <alignment horizontal="centerContinuous"/>
    </xf>
    <xf numFmtId="0" fontId="5" fillId="0" borderId="33" xfId="2" quotePrefix="1" applyNumberFormat="1" applyFont="1" applyFill="1" applyBorder="1" applyAlignment="1" applyProtection="1">
      <alignment horizontal="center" vertical="center" wrapText="1"/>
    </xf>
    <xf numFmtId="0" fontId="4" fillId="0" borderId="62" xfId="2" applyNumberFormat="1" applyFont="1" applyFill="1" applyBorder="1" applyAlignment="1" applyProtection="1"/>
    <xf numFmtId="0" fontId="4" fillId="0" borderId="38" xfId="2" applyNumberFormat="1" applyFont="1" applyFill="1" applyBorder="1" applyAlignment="1" applyProtection="1"/>
    <xf numFmtId="0" fontId="5" fillId="0" borderId="30" xfId="2" applyNumberFormat="1" applyFont="1" applyFill="1" applyBorder="1" applyAlignment="1" applyProtection="1"/>
    <xf numFmtId="0" fontId="4" fillId="0" borderId="41" xfId="2" applyNumberFormat="1" applyFont="1" applyFill="1" applyBorder="1" applyAlignment="1" applyProtection="1"/>
    <xf numFmtId="0" fontId="4" fillId="0" borderId="33" xfId="2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right"/>
    </xf>
    <xf numFmtId="0" fontId="4" fillId="0" borderId="4" xfId="2" applyNumberFormat="1" applyFont="1" applyFill="1" applyBorder="1" applyAlignment="1" applyProtection="1">
      <alignment horizontal="right"/>
    </xf>
    <xf numFmtId="164" fontId="5" fillId="0" borderId="14" xfId="72" applyNumberFormat="1" applyFont="1" applyFill="1" applyBorder="1" applyAlignment="1" applyProtection="1"/>
    <xf numFmtId="0" fontId="4" fillId="0" borderId="29" xfId="2" applyNumberFormat="1" applyFont="1" applyFill="1" applyBorder="1" applyAlignment="1" applyProtection="1"/>
    <xf numFmtId="0" fontId="4" fillId="0" borderId="18" xfId="2" applyNumberFormat="1" applyFont="1" applyFill="1" applyBorder="1" applyAlignment="1" applyProtection="1">
      <alignment horizontal="right"/>
    </xf>
    <xf numFmtId="0" fontId="5" fillId="0" borderId="4" xfId="2" applyNumberFormat="1" applyFont="1" applyFill="1" applyBorder="1" applyAlignment="1" applyProtection="1"/>
    <xf numFmtId="166" fontId="4" fillId="0" borderId="1" xfId="2" applyNumberFormat="1" applyFont="1" applyFill="1" applyBorder="1" applyAlignment="1" applyProtection="1">
      <alignment horizontal="right"/>
    </xf>
    <xf numFmtId="166" fontId="4" fillId="0" borderId="18" xfId="2" applyNumberFormat="1" applyFont="1" applyFill="1" applyBorder="1" applyAlignment="1" applyProtection="1">
      <alignment horizontal="right"/>
    </xf>
    <xf numFmtId="166" fontId="4" fillId="0" borderId="38" xfId="2" applyNumberFormat="1" applyFont="1" applyFill="1" applyBorder="1" applyAlignment="1" applyProtection="1">
      <alignment horizontal="right"/>
    </xf>
    <xf numFmtId="166" fontId="4" fillId="0" borderId="4" xfId="2" applyNumberFormat="1" applyFont="1" applyFill="1" applyBorder="1" applyAlignment="1" applyProtection="1">
      <alignment horizontal="right"/>
    </xf>
    <xf numFmtId="166" fontId="4" fillId="0" borderId="8" xfId="2" applyNumberFormat="1" applyFont="1" applyFill="1" applyBorder="1" applyAlignment="1" applyProtection="1">
      <alignment horizontal="right"/>
    </xf>
    <xf numFmtId="166" fontId="5" fillId="0" borderId="29" xfId="2" applyNumberFormat="1" applyFont="1" applyFill="1" applyBorder="1" applyAlignment="1" applyProtection="1">
      <alignment horizontal="right"/>
    </xf>
    <xf numFmtId="0" fontId="4" fillId="0" borderId="8" xfId="2" applyNumberFormat="1" applyFont="1" applyFill="1" applyBorder="1" applyAlignment="1" applyProtection="1"/>
    <xf numFmtId="0" fontId="5" fillId="0" borderId="1" xfId="2" applyNumberFormat="1" applyFont="1" applyFill="1" applyBorder="1" applyAlignment="1" applyProtection="1"/>
    <xf numFmtId="0" fontId="5" fillId="0" borderId="50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>
      <alignment horizontal="left"/>
    </xf>
    <xf numFmtId="0" fontId="4" fillId="0" borderId="20" xfId="2" applyNumberFormat="1" applyFont="1" applyFill="1" applyBorder="1" applyAlignment="1" applyProtection="1">
      <alignment horizontal="left"/>
    </xf>
    <xf numFmtId="0" fontId="4" fillId="0" borderId="20" xfId="2" quotePrefix="1" applyNumberFormat="1" applyFont="1" applyFill="1" applyBorder="1" applyAlignment="1" applyProtection="1">
      <alignment horizontal="left"/>
    </xf>
    <xf numFmtId="0" fontId="4" fillId="0" borderId="28" xfId="2" quotePrefix="1" applyNumberFormat="1" applyFont="1" applyFill="1" applyBorder="1" applyAlignment="1" applyProtection="1">
      <alignment horizontal="left"/>
    </xf>
    <xf numFmtId="0" fontId="5" fillId="0" borderId="12" xfId="2" quotePrefix="1" applyNumberFormat="1" applyFont="1" applyFill="1" applyBorder="1" applyAlignment="1" applyProtection="1">
      <alignment horizontal="left"/>
    </xf>
    <xf numFmtId="0" fontId="4" fillId="0" borderId="16" xfId="2" quotePrefix="1" applyNumberFormat="1" applyFont="1" applyFill="1" applyBorder="1" applyAlignment="1" applyProtection="1">
      <alignment horizontal="center"/>
    </xf>
    <xf numFmtId="0" fontId="4" fillId="0" borderId="19" xfId="2" quotePrefix="1" applyNumberFormat="1" applyFont="1" applyFill="1" applyBorder="1" applyAlignment="1" applyProtection="1">
      <alignment horizontal="center"/>
    </xf>
    <xf numFmtId="0" fontId="4" fillId="0" borderId="23" xfId="2" quotePrefix="1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/>
    <xf numFmtId="0" fontId="4" fillId="0" borderId="27" xfId="5" applyNumberFormat="1" applyFont="1" applyFill="1" applyBorder="1" applyAlignment="1" applyProtection="1"/>
    <xf numFmtId="0" fontId="4" fillId="0" borderId="20" xfId="5" applyNumberFormat="1" applyFont="1" applyFill="1" applyBorder="1" applyAlignment="1" applyProtection="1"/>
    <xf numFmtId="0" fontId="4" fillId="0" borderId="28" xfId="5" applyNumberFormat="1" applyFont="1" applyFill="1" applyBorder="1" applyAlignment="1" applyProtection="1"/>
    <xf numFmtId="0" fontId="5" fillId="0" borderId="47" xfId="2" quotePrefix="1" applyNumberFormat="1" applyFont="1" applyFill="1" applyBorder="1" applyAlignment="1" applyProtection="1">
      <alignment horizontal="left"/>
    </xf>
    <xf numFmtId="0" fontId="5" fillId="0" borderId="46" xfId="2" applyNumberFormat="1" applyFont="1" applyFill="1" applyBorder="1" applyAlignment="1" applyProtection="1"/>
    <xf numFmtId="0" fontId="4" fillId="0" borderId="17" xfId="2" quotePrefix="1" applyNumberFormat="1" applyFont="1" applyFill="1" applyBorder="1" applyAlignment="1" applyProtection="1">
      <alignment horizontal="left"/>
    </xf>
    <xf numFmtId="0" fontId="4" fillId="0" borderId="28" xfId="2" applyNumberFormat="1" applyFont="1" applyFill="1" applyBorder="1" applyAlignment="1" applyProtection="1">
      <alignment horizontal="left"/>
    </xf>
    <xf numFmtId="0" fontId="4" fillId="0" borderId="12" xfId="2" applyNumberFormat="1" applyFont="1" applyFill="1" applyBorder="1" applyAlignment="1" applyProtection="1"/>
    <xf numFmtId="0" fontId="5" fillId="0" borderId="47" xfId="2" applyNumberFormat="1" applyFont="1" applyFill="1" applyBorder="1" applyAlignment="1" applyProtection="1"/>
    <xf numFmtId="0" fontId="4" fillId="0" borderId="14" xfId="2" quotePrefix="1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/>
    <xf numFmtId="0" fontId="4" fillId="0" borderId="20" xfId="2" applyNumberFormat="1" applyFont="1" applyFill="1" applyBorder="1" applyAlignment="1" applyProtection="1"/>
    <xf numFmtId="0" fontId="4" fillId="0" borderId="24" xfId="2" applyNumberFormat="1" applyFont="1" applyFill="1" applyBorder="1" applyAlignment="1" applyProtection="1">
      <alignment horizontal="left"/>
    </xf>
    <xf numFmtId="0" fontId="4" fillId="0" borderId="27" xfId="2" quotePrefix="1" applyNumberFormat="1" applyFont="1" applyFill="1" applyBorder="1" applyAlignment="1" applyProtection="1">
      <alignment horizontal="left"/>
    </xf>
    <xf numFmtId="0" fontId="4" fillId="0" borderId="44" xfId="2" applyNumberFormat="1" applyFont="1" applyFill="1" applyBorder="1" applyAlignment="1" applyProtection="1"/>
    <xf numFmtId="0" fontId="4" fillId="0" borderId="45" xfId="2" applyNumberFormat="1" applyFont="1" applyFill="1" applyBorder="1" applyAlignment="1" applyProtection="1"/>
    <xf numFmtId="0" fontId="5" fillId="0" borderId="47" xfId="2" applyNumberFormat="1" applyFont="1" applyFill="1" applyBorder="1" applyAlignment="1" applyProtection="1">
      <alignment horizontal="left"/>
    </xf>
    <xf numFmtId="0" fontId="4" fillId="0" borderId="23" xfId="2" quotePrefix="1" applyNumberFormat="1" applyFont="1" applyFill="1" applyBorder="1" applyAlignment="1" applyProtection="1"/>
    <xf numFmtId="0" fontId="5" fillId="0" borderId="46" xfId="2" quotePrefix="1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>
      <alignment wrapText="1"/>
    </xf>
    <xf numFmtId="0" fontId="4" fillId="0" borderId="20" xfId="2" applyNumberFormat="1" applyFont="1" applyFill="1" applyBorder="1" applyAlignment="1" applyProtection="1">
      <alignment horizontal="left" wrapText="1"/>
    </xf>
    <xf numFmtId="0" fontId="4" fillId="0" borderId="20" xfId="2" applyNumberFormat="1" applyFont="1" applyFill="1" applyBorder="1" applyAlignment="1" applyProtection="1">
      <alignment wrapText="1"/>
    </xf>
    <xf numFmtId="0" fontId="4" fillId="0" borderId="20" xfId="2" quotePrefix="1" applyNumberFormat="1" applyFont="1" applyFill="1" applyBorder="1" applyAlignment="1" applyProtection="1">
      <alignment horizontal="left" wrapText="1"/>
    </xf>
    <xf numFmtId="0" fontId="4" fillId="0" borderId="16" xfId="2" applyNumberFormat="1" applyFont="1" applyFill="1" applyBorder="1" applyAlignment="1" applyProtection="1">
      <alignment horizontal="center"/>
    </xf>
    <xf numFmtId="0" fontId="4" fillId="0" borderId="24" xfId="2" quotePrefix="1" applyNumberFormat="1" applyFont="1" applyFill="1" applyBorder="1" applyAlignment="1" applyProtection="1">
      <alignment horizontal="left"/>
    </xf>
    <xf numFmtId="0" fontId="4" fillId="0" borderId="28" xfId="2" applyNumberFormat="1" applyFont="1" applyFill="1" applyBorder="1" applyAlignment="1" applyProtection="1"/>
    <xf numFmtId="0" fontId="4" fillId="0" borderId="37" xfId="2" quotePrefix="1" applyNumberFormat="1" applyFont="1" applyFill="1" applyBorder="1" applyAlignment="1" applyProtection="1">
      <alignment horizontal="center"/>
    </xf>
    <xf numFmtId="0" fontId="4" fillId="0" borderId="23" xfId="2" applyNumberFormat="1" applyFont="1" applyFill="1" applyBorder="1" applyAlignment="1" applyProtection="1">
      <alignment horizontal="center"/>
    </xf>
    <xf numFmtId="0" fontId="5" fillId="0" borderId="28" xfId="2" quotePrefix="1" applyNumberFormat="1" applyFont="1" applyFill="1" applyBorder="1" applyAlignment="1" applyProtection="1">
      <alignment horizontal="left"/>
    </xf>
    <xf numFmtId="0" fontId="5" fillId="0" borderId="27" xfId="2" applyNumberFormat="1" applyFont="1" applyFill="1" applyBorder="1" applyAlignment="1" applyProtection="1">
      <alignment horizontal="left"/>
    </xf>
    <xf numFmtId="0" fontId="4" fillId="0" borderId="17" xfId="2" applyNumberFormat="1" applyFont="1" applyFill="1" applyBorder="1" applyAlignment="1" applyProtection="1">
      <alignment horizontal="left"/>
    </xf>
    <xf numFmtId="0" fontId="4" fillId="0" borderId="34" xfId="2" quotePrefix="1" applyNumberFormat="1" applyFont="1" applyFill="1" applyBorder="1" applyAlignment="1" applyProtection="1">
      <alignment horizontal="center"/>
    </xf>
    <xf numFmtId="0" fontId="5" fillId="0" borderId="34" xfId="2" quotePrefix="1" applyNumberFormat="1" applyFont="1" applyFill="1" applyBorder="1" applyAlignment="1" applyProtection="1">
      <alignment horizontal="center"/>
    </xf>
    <xf numFmtId="0" fontId="5" fillId="0" borderId="12" xfId="2" applyNumberFormat="1" applyFont="1" applyFill="1" applyBorder="1" applyAlignment="1" applyProtection="1">
      <alignment horizontal="left"/>
    </xf>
    <xf numFmtId="0" fontId="4" fillId="0" borderId="40" xfId="2" applyNumberFormat="1" applyFont="1" applyFill="1" applyBorder="1" applyAlignment="1" applyProtection="1">
      <alignment horizontal="left"/>
    </xf>
    <xf numFmtId="0" fontId="4" fillId="0" borderId="47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left"/>
    </xf>
    <xf numFmtId="0" fontId="4" fillId="2" borderId="19" xfId="2" applyNumberFormat="1" applyFont="1" applyFill="1" applyBorder="1" applyAlignment="1" applyProtection="1">
      <alignment horizontal="center"/>
    </xf>
    <xf numFmtId="0" fontId="4" fillId="2" borderId="23" xfId="2" applyNumberFormat="1" applyFont="1" applyFill="1" applyBorder="1" applyAlignment="1" applyProtection="1">
      <alignment horizontal="center"/>
    </xf>
    <xf numFmtId="0" fontId="5" fillId="0" borderId="16" xfId="2" quotePrefix="1" applyNumberFormat="1" applyFont="1" applyFill="1" applyBorder="1" applyAlignment="1" applyProtection="1">
      <alignment horizontal="center"/>
    </xf>
    <xf numFmtId="0" fontId="4" fillId="2" borderId="19" xfId="2" quotePrefix="1" applyNumberFormat="1" applyFont="1" applyFill="1" applyBorder="1" applyAlignment="1" applyProtection="1">
      <alignment horizontal="center"/>
    </xf>
    <xf numFmtId="0" fontId="4" fillId="0" borderId="46" xfId="2" quotePrefix="1" applyNumberFormat="1" applyFont="1" applyFill="1" applyBorder="1" applyAlignment="1" applyProtection="1">
      <alignment horizontal="center"/>
    </xf>
    <xf numFmtId="0" fontId="5" fillId="0" borderId="49" xfId="2" quotePrefix="1" applyNumberFormat="1" applyFont="1" applyFill="1" applyBorder="1" applyAlignment="1" applyProtection="1">
      <alignment horizontal="center"/>
    </xf>
    <xf numFmtId="0" fontId="4" fillId="0" borderId="24" xfId="2" applyNumberFormat="1" applyFont="1" applyFill="1" applyBorder="1" applyAlignment="1" applyProtection="1"/>
    <xf numFmtId="0" fontId="4" fillId="0" borderId="20" xfId="2" quotePrefix="1" applyNumberFormat="1" applyFont="1" applyFill="1" applyBorder="1" applyAlignment="1" applyProtection="1">
      <alignment vertical="center" wrapText="1"/>
    </xf>
    <xf numFmtId="0" fontId="7" fillId="0" borderId="0" xfId="2" applyNumberFormat="1" applyFont="1" applyFill="1" applyAlignment="1" applyProtection="1">
      <alignment horizontal="center"/>
    </xf>
    <xf numFmtId="0" fontId="4" fillId="0" borderId="57" xfId="2" applyNumberFormat="1" applyFont="1" applyFill="1" applyBorder="1" applyAlignment="1" applyProtection="1"/>
    <xf numFmtId="0" fontId="4" fillId="0" borderId="59" xfId="2" applyNumberFormat="1" applyFont="1" applyFill="1" applyBorder="1" applyAlignment="1" applyProtection="1"/>
    <xf numFmtId="0" fontId="4" fillId="0" borderId="56" xfId="2" applyNumberFormat="1" applyFont="1" applyFill="1" applyBorder="1" applyAlignment="1" applyProtection="1">
      <alignment horizontal="center"/>
    </xf>
    <xf numFmtId="0" fontId="4" fillId="0" borderId="58" xfId="2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>
      <alignment horizontal="left" wrapText="1"/>
    </xf>
    <xf numFmtId="0" fontId="4" fillId="0" borderId="23" xfId="2" applyNumberFormat="1" applyFont="1" applyFill="1" applyBorder="1" applyAlignment="1" applyProtection="1">
      <alignment horizontal="left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left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7" fillId="0" borderId="0" xfId="2" applyNumberFormat="1" applyFont="1" applyFill="1" applyAlignment="1" applyProtection="1">
      <alignment horizontal="center"/>
    </xf>
    <xf numFmtId="0" fontId="7" fillId="0" borderId="0" xfId="2" applyNumberFormat="1" applyFont="1" applyFill="1" applyAlignment="1" applyProtection="1">
      <alignment horizontal="center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2" xfId="2" quotePrefix="1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0" fontId="5" fillId="0" borderId="6" xfId="2" applyNumberFormat="1" applyFont="1" applyFill="1" applyBorder="1" applyAlignment="1" applyProtection="1">
      <alignment horizontal="center"/>
    </xf>
    <xf numFmtId="0" fontId="5" fillId="0" borderId="1" xfId="2" applyNumberFormat="1" applyFont="1" applyFill="1" applyBorder="1" applyAlignment="1" applyProtection="1">
      <alignment horizontal="center"/>
    </xf>
    <xf numFmtId="0" fontId="5" fillId="0" borderId="2" xfId="2" applyNumberFormat="1" applyFont="1" applyFill="1" applyBorder="1" applyAlignment="1" applyProtection="1">
      <alignment horizontal="center"/>
    </xf>
    <xf numFmtId="0" fontId="5" fillId="0" borderId="3" xfId="2" applyNumberFormat="1" applyFont="1" applyFill="1" applyBorder="1" applyAlignment="1" applyProtection="1">
      <alignment horizontal="center"/>
    </xf>
    <xf numFmtId="0" fontId="5" fillId="0" borderId="11" xfId="2" quotePrefix="1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center" vertical="center" wrapText="1"/>
    </xf>
    <xf numFmtId="0" fontId="5" fillId="0" borderId="13" xfId="2" quotePrefix="1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Alignment="1" applyProtection="1">
      <alignment horizontal="center"/>
    </xf>
    <xf numFmtId="0" fontId="7" fillId="0" borderId="7" xfId="2" applyNumberFormat="1" applyFont="1" applyFill="1" applyBorder="1" applyAlignment="1" applyProtection="1">
      <alignment horizontal="center"/>
    </xf>
    <xf numFmtId="0" fontId="5" fillId="0" borderId="8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0" fontId="5" fillId="0" borderId="10" xfId="2" applyNumberFormat="1" applyFont="1" applyFill="1" applyBorder="1" applyAlignment="1" applyProtection="1">
      <alignment horizontal="center"/>
    </xf>
    <xf numFmtId="0" fontId="5" fillId="0" borderId="11" xfId="2" quotePrefix="1" applyNumberFormat="1" applyFont="1" applyFill="1" applyBorder="1" applyAlignment="1" applyProtection="1">
      <alignment horizontal="center"/>
    </xf>
    <xf numFmtId="0" fontId="5" fillId="0" borderId="12" xfId="2" quotePrefix="1" applyNumberFormat="1" applyFont="1" applyFill="1" applyBorder="1" applyAlignment="1" applyProtection="1">
      <alignment horizontal="center"/>
    </xf>
    <xf numFmtId="0" fontId="5" fillId="0" borderId="13" xfId="2" quotePrefix="1" applyNumberFormat="1" applyFont="1" applyFill="1" applyBorder="1" applyAlignment="1" applyProtection="1">
      <alignment horizontal="center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/>
    </xf>
    <xf numFmtId="0" fontId="5" fillId="0" borderId="12" xfId="2" applyNumberFormat="1" applyFont="1" applyFill="1" applyBorder="1" applyAlignment="1" applyProtection="1">
      <alignment horizontal="center"/>
    </xf>
    <xf numFmtId="0" fontId="5" fillId="0" borderId="13" xfId="2" applyNumberFormat="1" applyFont="1" applyFill="1" applyBorder="1" applyAlignment="1" applyProtection="1">
      <alignment horizontal="center"/>
    </xf>
    <xf numFmtId="0" fontId="5" fillId="0" borderId="53" xfId="2" applyNumberFormat="1" applyFont="1" applyFill="1" applyBorder="1" applyAlignment="1" applyProtection="1">
      <alignment horizontal="center" vertical="center" wrapText="1"/>
    </xf>
    <xf numFmtId="0" fontId="5" fillId="0" borderId="46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1" xfId="2" quotePrefix="1" applyNumberFormat="1" applyFont="1" applyFill="1" applyBorder="1" applyAlignment="1" applyProtection="1">
      <alignment horizontal="center" wrapText="1"/>
    </xf>
    <xf numFmtId="0" fontId="5" fillId="0" borderId="12" xfId="2" quotePrefix="1" applyNumberFormat="1" applyFont="1" applyFill="1" applyBorder="1" applyAlignment="1" applyProtection="1">
      <alignment horizontal="center" wrapText="1"/>
    </xf>
    <xf numFmtId="0" fontId="5" fillId="0" borderId="13" xfId="2" quotePrefix="1" applyNumberFormat="1" applyFont="1" applyFill="1" applyBorder="1" applyAlignment="1" applyProtection="1">
      <alignment horizontal="center" wrapText="1"/>
    </xf>
    <xf numFmtId="0" fontId="5" fillId="0" borderId="11" xfId="2" quotePrefix="1" applyNumberFormat="1" applyFont="1" applyFill="1" applyBorder="1" applyAlignment="1" applyProtection="1">
      <alignment horizontal="left" vertical="center" wrapText="1"/>
    </xf>
    <xf numFmtId="0" fontId="5" fillId="0" borderId="12" xfId="2" quotePrefix="1" applyNumberFormat="1" applyFont="1" applyFill="1" applyBorder="1" applyAlignment="1" applyProtection="1">
      <alignment horizontal="left" vertical="center" wrapText="1"/>
    </xf>
    <xf numFmtId="0" fontId="5" fillId="0" borderId="13" xfId="2" quotePrefix="1" applyNumberFormat="1" applyFont="1" applyFill="1" applyBorder="1" applyAlignment="1" applyProtection="1">
      <alignment horizontal="left" vertical="center" wrapText="1"/>
    </xf>
    <xf numFmtId="0" fontId="5" fillId="0" borderId="12" xfId="2" quotePrefix="1" applyNumberFormat="1" applyFont="1" applyFill="1" applyBorder="1" applyAlignment="1" applyProtection="1">
      <alignment horizontal="left"/>
    </xf>
    <xf numFmtId="0" fontId="5" fillId="0" borderId="64" xfId="2" quotePrefix="1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24" xfId="2" applyNumberFormat="1" applyFont="1" applyFill="1" applyBorder="1" applyAlignment="1" applyProtection="1">
      <alignment horizontal="center" vertical="center" wrapText="1"/>
    </xf>
  </cellXfs>
  <cellStyles count="92">
    <cellStyle name="20% - Énfasis1 2" xfId="8"/>
    <cellStyle name="20% - Énfasis1 3" xfId="7"/>
    <cellStyle name="20% - Énfasis2 2" xfId="10"/>
    <cellStyle name="20% - Énfasis2 3" xfId="9"/>
    <cellStyle name="20% - Énfasis3 2" xfId="12"/>
    <cellStyle name="20% - Énfasis3 3" xfId="11"/>
    <cellStyle name="20% - Énfasis4 2" xfId="14"/>
    <cellStyle name="20% - Énfasis4 3" xfId="13"/>
    <cellStyle name="20% - Énfasis5 2" xfId="16"/>
    <cellStyle name="20% - Énfasis5 3" xfId="15"/>
    <cellStyle name="20% - Énfasis6 2" xfId="18"/>
    <cellStyle name="20% - Énfasis6 3" xfId="17"/>
    <cellStyle name="40% - Énfasis1 2" xfId="20"/>
    <cellStyle name="40% - Énfasis1 3" xfId="19"/>
    <cellStyle name="40% - Énfasis2 2" xfId="22"/>
    <cellStyle name="40% - Énfasis2 3" xfId="21"/>
    <cellStyle name="40% - Énfasis3 2" xfId="24"/>
    <cellStyle name="40% - Énfasis3 3" xfId="23"/>
    <cellStyle name="40% - Énfasis4 2" xfId="26"/>
    <cellStyle name="40% - Énfasis4 3" xfId="25"/>
    <cellStyle name="40% - Énfasis5 2" xfId="28"/>
    <cellStyle name="40% - Énfasis5 3" xfId="27"/>
    <cellStyle name="40% - Énfasis6 2" xfId="30"/>
    <cellStyle name="40% - Énfasis6 3" xfId="29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cribir" xfId="49"/>
    <cellStyle name="Escribir 2" xfId="50"/>
    <cellStyle name="Escribir 2 2" xfId="51"/>
    <cellStyle name="Escribir_SBM-09V1.1" xfId="52"/>
    <cellStyle name="Euro" xfId="53"/>
    <cellStyle name="Euro 2" xfId="54"/>
    <cellStyle name="Euro 2 2" xfId="55"/>
    <cellStyle name="Incorrecto 2" xfId="56"/>
    <cellStyle name="Millares [0] 2" xfId="59"/>
    <cellStyle name="Millares [0] 2 2" xfId="60"/>
    <cellStyle name="Millares [0] 2 2 2" xfId="61"/>
    <cellStyle name="Millares [0] 2 3" xfId="62"/>
    <cellStyle name="Millares [0] 3" xfId="63"/>
    <cellStyle name="Millares [0] 3 2" xfId="64"/>
    <cellStyle name="Millares [0] 4" xfId="65"/>
    <cellStyle name="Millares [0] 4 2" xfId="66"/>
    <cellStyle name="Millares [0] 5" xfId="58"/>
    <cellStyle name="Millares 2" xfId="67"/>
    <cellStyle name="Millares 2 2" xfId="68"/>
    <cellStyle name="Millares 3" xfId="69"/>
    <cellStyle name="Millares 3 2" xfId="70"/>
    <cellStyle name="Millares 4" xfId="57"/>
    <cellStyle name="Millares 5" xfId="90"/>
    <cellStyle name="Millares 6" xfId="91"/>
    <cellStyle name="Millares_RMC0" xfId="4"/>
    <cellStyle name="Moneda" xfId="1" builtinId="4"/>
    <cellStyle name="Moneda 2" xfId="72"/>
    <cellStyle name="Moneda 2 2" xfId="73"/>
    <cellStyle name="Moneda 3" xfId="71"/>
    <cellStyle name="Moneda_rem0" xfId="3"/>
    <cellStyle name="Neutral 2" xfId="74"/>
    <cellStyle name="Normal" xfId="0" builtinId="0"/>
    <cellStyle name="Normal 2" xfId="75"/>
    <cellStyle name="Normal 2 2" xfId="76"/>
    <cellStyle name="Normal 2 3" xfId="77"/>
    <cellStyle name="Normal 3" xfId="6"/>
    <cellStyle name="Normal 6" xfId="78"/>
    <cellStyle name="Normal_rem0" xfId="5"/>
    <cellStyle name="Normal_RMC_0" xfId="2"/>
    <cellStyle name="Notas 2" xfId="80"/>
    <cellStyle name="Notas 2 2" xfId="81"/>
    <cellStyle name="Notas 3" xfId="79"/>
    <cellStyle name="Salida 2" xfId="82"/>
    <cellStyle name="Texto de advertencia 2" xfId="83"/>
    <cellStyle name="Texto explicativo 2" xfId="84"/>
    <cellStyle name="Título 1 2" xfId="86"/>
    <cellStyle name="Título 2 2" xfId="87"/>
    <cellStyle name="Título 3 2" xfId="88"/>
    <cellStyle name="Título 4" xfId="85"/>
    <cellStyle name="Total 2" xfId="8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ULTIMA%20INF.%20REM/SBS-15_V1.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NOVIEMBRE/116108BS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DICIEMBRE%20CON%20REM%2009%202015/116108BS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ENERO/116108%20SBS-15_V1.0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FEBRERO/116108%20SBS-15_V1.0%202015%20-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RZO/116%20108%20SBS-15_V1.1%20-%202015%20-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BRIL/116%20108%20SBS-15_V1.1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YO/116%20108%20%20SBS-15_V1.1%20-%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archivos%20BS%20talca/116108BS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GOSTO/116108BS08%20AGOSTO%20o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SEPTIEMBRE/116108BS09%20SEPTIEMBRE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7">
          <cell r="B7">
            <v>2015</v>
          </cell>
        </row>
        <row r="12">
          <cell r="A12" t="str">
            <v>Jefe de Estadisticas</v>
          </cell>
        </row>
      </sheetData>
      <sheetData sheetId="1"/>
      <sheetData sheetId="2"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</row>
        <row r="130">
          <cell r="E130">
            <v>0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U15">
            <v>11590</v>
          </cell>
          <cell r="V15">
            <v>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U19">
            <v>14530</v>
          </cell>
          <cell r="V19">
            <v>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U23">
            <v>5860</v>
          </cell>
          <cell r="V23">
            <v>0</v>
          </cell>
        </row>
        <row r="24">
          <cell r="U24">
            <v>7020</v>
          </cell>
          <cell r="V24">
            <v>0</v>
          </cell>
        </row>
        <row r="25">
          <cell r="U25">
            <v>8710</v>
          </cell>
          <cell r="V25">
            <v>0</v>
          </cell>
        </row>
        <row r="27">
          <cell r="U27">
            <v>1140</v>
          </cell>
          <cell r="V27">
            <v>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U30">
            <v>1550</v>
          </cell>
          <cell r="V30">
            <v>0</v>
          </cell>
        </row>
        <row r="31">
          <cell r="U31">
            <v>1250</v>
          </cell>
          <cell r="V31">
            <v>0</v>
          </cell>
        </row>
        <row r="32">
          <cell r="U32">
            <v>1140</v>
          </cell>
          <cell r="V32">
            <v>0</v>
          </cell>
        </row>
        <row r="34">
          <cell r="U34">
            <v>3750</v>
          </cell>
          <cell r="V34">
            <v>0</v>
          </cell>
        </row>
        <row r="35">
          <cell r="U35">
            <v>2060</v>
          </cell>
          <cell r="V35">
            <v>0</v>
          </cell>
        </row>
        <row r="36">
          <cell r="U36">
            <v>2060</v>
          </cell>
          <cell r="V36">
            <v>0</v>
          </cell>
        </row>
        <row r="37">
          <cell r="U37">
            <v>630</v>
          </cell>
          <cell r="V37">
            <v>0</v>
          </cell>
        </row>
        <row r="39">
          <cell r="U39">
            <v>1780</v>
          </cell>
          <cell r="V39">
            <v>0</v>
          </cell>
        </row>
        <row r="40">
          <cell r="U40">
            <v>1780</v>
          </cell>
          <cell r="V40">
            <v>0</v>
          </cell>
        </row>
        <row r="41">
          <cell r="U41">
            <v>1030</v>
          </cell>
          <cell r="V41">
            <v>0</v>
          </cell>
        </row>
        <row r="43">
          <cell r="U43">
            <v>780</v>
          </cell>
          <cell r="V43">
            <v>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U48">
            <v>680</v>
          </cell>
          <cell r="V48">
            <v>0</v>
          </cell>
        </row>
        <row r="49">
          <cell r="U49">
            <v>2060</v>
          </cell>
          <cell r="V49">
            <v>0</v>
          </cell>
        </row>
        <row r="50">
          <cell r="U50">
            <v>15480</v>
          </cell>
          <cell r="V50">
            <v>0</v>
          </cell>
        </row>
        <row r="51">
          <cell r="U51">
            <v>35550</v>
          </cell>
          <cell r="V51">
            <v>0</v>
          </cell>
        </row>
        <row r="52">
          <cell r="D52">
            <v>0</v>
          </cell>
          <cell r="V52">
            <v>0</v>
          </cell>
        </row>
        <row r="59">
          <cell r="U59">
            <v>34010</v>
          </cell>
          <cell r="V59">
            <v>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U62">
            <v>141410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U65">
            <v>68290</v>
          </cell>
          <cell r="V65">
            <v>0</v>
          </cell>
        </row>
        <row r="66">
          <cell r="V66">
            <v>0</v>
          </cell>
        </row>
        <row r="67">
          <cell r="V67">
            <v>0</v>
          </cell>
        </row>
        <row r="68">
          <cell r="U68">
            <v>61270</v>
          </cell>
          <cell r="V68">
            <v>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U75">
            <v>5040</v>
          </cell>
          <cell r="V75">
            <v>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U79">
            <v>6600</v>
          </cell>
          <cell r="V79">
            <v>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0</v>
          </cell>
        </row>
        <row r="174">
          <cell r="V174">
            <v>0</v>
          </cell>
        </row>
        <row r="243">
          <cell r="V243">
            <v>0</v>
          </cell>
        </row>
        <row r="289">
          <cell r="V289">
            <v>0</v>
          </cell>
        </row>
        <row r="295">
          <cell r="V295">
            <v>0</v>
          </cell>
        </row>
        <row r="362">
          <cell r="V362">
            <v>0</v>
          </cell>
        </row>
        <row r="405">
          <cell r="V405">
            <v>0</v>
          </cell>
        </row>
        <row r="428">
          <cell r="V428">
            <v>0</v>
          </cell>
        </row>
        <row r="446">
          <cell r="V446">
            <v>0</v>
          </cell>
        </row>
        <row r="456">
          <cell r="V456">
            <v>0</v>
          </cell>
        </row>
        <row r="500">
          <cell r="V500">
            <v>0</v>
          </cell>
        </row>
        <row r="535">
          <cell r="V535">
            <v>0</v>
          </cell>
        </row>
        <row r="590">
          <cell r="V590">
            <v>0</v>
          </cell>
        </row>
        <row r="615">
          <cell r="V615">
            <v>0</v>
          </cell>
        </row>
        <row r="633">
          <cell r="V633">
            <v>0</v>
          </cell>
        </row>
        <row r="634">
          <cell r="V634">
            <v>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0</v>
          </cell>
          <cell r="V768">
            <v>0</v>
          </cell>
        </row>
        <row r="783">
          <cell r="V783">
            <v>0</v>
          </cell>
        </row>
        <row r="795">
          <cell r="U795">
            <v>7110</v>
          </cell>
          <cell r="V795">
            <v>0</v>
          </cell>
        </row>
        <row r="796">
          <cell r="U796">
            <v>2780</v>
          </cell>
          <cell r="V796">
            <v>0</v>
          </cell>
        </row>
        <row r="797">
          <cell r="U797">
            <v>2780</v>
          </cell>
          <cell r="V797">
            <v>0</v>
          </cell>
        </row>
        <row r="798">
          <cell r="U798">
            <v>11080</v>
          </cell>
          <cell r="V798">
            <v>0</v>
          </cell>
        </row>
        <row r="799">
          <cell r="U799">
            <v>12980</v>
          </cell>
          <cell r="V799">
            <v>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U805">
            <v>14690</v>
          </cell>
          <cell r="V805">
            <v>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0</v>
          </cell>
        </row>
        <row r="961">
          <cell r="V961">
            <v>0</v>
          </cell>
        </row>
        <row r="1036">
          <cell r="U1036">
            <v>9390</v>
          </cell>
          <cell r="V1036">
            <v>0</v>
          </cell>
        </row>
        <row r="1037">
          <cell r="V1037">
            <v>0</v>
          </cell>
        </row>
        <row r="1098">
          <cell r="V1098">
            <v>0</v>
          </cell>
        </row>
        <row r="1166">
          <cell r="V1166">
            <v>0</v>
          </cell>
        </row>
        <row r="1197">
          <cell r="U1197">
            <v>5030</v>
          </cell>
          <cell r="V1197">
            <v>0</v>
          </cell>
        </row>
        <row r="1198">
          <cell r="U1198">
            <v>14180</v>
          </cell>
          <cell r="V1198">
            <v>0</v>
          </cell>
        </row>
        <row r="1199">
          <cell r="U1199">
            <v>24050</v>
          </cell>
          <cell r="V1199">
            <v>0</v>
          </cell>
        </row>
        <row r="1200">
          <cell r="U1200">
            <v>45920</v>
          </cell>
          <cell r="V1200">
            <v>0</v>
          </cell>
        </row>
        <row r="1201">
          <cell r="U1201">
            <v>51180</v>
          </cell>
          <cell r="V1201">
            <v>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0</v>
          </cell>
        </row>
        <row r="1287">
          <cell r="V1287">
            <v>0</v>
          </cell>
        </row>
        <row r="1354">
          <cell r="U1354">
            <v>34730</v>
          </cell>
          <cell r="V1354">
            <v>0</v>
          </cell>
        </row>
        <row r="1355">
          <cell r="U1355">
            <v>41890</v>
          </cell>
          <cell r="V1355">
            <v>0</v>
          </cell>
        </row>
        <row r="1356">
          <cell r="U1356">
            <v>44620</v>
          </cell>
          <cell r="V1356">
            <v>0</v>
          </cell>
        </row>
        <row r="1357">
          <cell r="V1357">
            <v>0</v>
          </cell>
        </row>
        <row r="1441">
          <cell r="V1441">
            <v>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0</v>
          </cell>
        </row>
        <row r="1574">
          <cell r="V1574">
            <v>0</v>
          </cell>
        </row>
        <row r="1592">
          <cell r="V1592">
            <v>0</v>
          </cell>
        </row>
        <row r="1597">
          <cell r="V1597">
            <v>0</v>
          </cell>
        </row>
        <row r="1631">
          <cell r="V1631">
            <v>0</v>
          </cell>
        </row>
        <row r="1632">
          <cell r="V1632">
            <v>0</v>
          </cell>
        </row>
        <row r="1633">
          <cell r="V1633">
            <v>0</v>
          </cell>
        </row>
        <row r="1634">
          <cell r="V1634">
            <v>0</v>
          </cell>
        </row>
        <row r="1635">
          <cell r="V1635">
            <v>0</v>
          </cell>
        </row>
        <row r="1636">
          <cell r="U1636">
            <v>132810</v>
          </cell>
          <cell r="V1636">
            <v>0</v>
          </cell>
        </row>
        <row r="1637">
          <cell r="U1637">
            <v>139740</v>
          </cell>
          <cell r="V1637">
            <v>0</v>
          </cell>
        </row>
        <row r="1639">
          <cell r="V1639">
            <v>0</v>
          </cell>
        </row>
        <row r="1845">
          <cell r="D1845">
            <v>0</v>
          </cell>
          <cell r="F1845">
            <v>0</v>
          </cell>
          <cell r="G1845">
            <v>0</v>
          </cell>
          <cell r="V1845">
            <v>0</v>
          </cell>
        </row>
        <row r="1849">
          <cell r="D1849">
            <v>0</v>
          </cell>
          <cell r="V1849">
            <v>0</v>
          </cell>
        </row>
        <row r="1861">
          <cell r="U1861">
            <v>28810</v>
          </cell>
          <cell r="V1861">
            <v>0</v>
          </cell>
        </row>
        <row r="1863">
          <cell r="U1863">
            <v>18980</v>
          </cell>
          <cell r="V1863">
            <v>0</v>
          </cell>
        </row>
        <row r="1864">
          <cell r="U1864">
            <v>59710</v>
          </cell>
          <cell r="V1864">
            <v>0</v>
          </cell>
        </row>
        <row r="1865">
          <cell r="U1865">
            <v>74020</v>
          </cell>
          <cell r="V1865">
            <v>0</v>
          </cell>
        </row>
        <row r="1866">
          <cell r="U1866">
            <v>2600</v>
          </cell>
          <cell r="V1866">
            <v>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0</v>
          </cell>
        </row>
        <row r="1889">
          <cell r="V1889">
            <v>0</v>
          </cell>
        </row>
        <row r="1914">
          <cell r="V1914">
            <v>0</v>
          </cell>
        </row>
        <row r="1941">
          <cell r="U1941">
            <v>19890</v>
          </cell>
          <cell r="V1941">
            <v>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U1981">
            <v>36070</v>
          </cell>
          <cell r="V1981">
            <v>0</v>
          </cell>
        </row>
        <row r="1983">
          <cell r="U1983">
            <v>7100</v>
          </cell>
          <cell r="V1983">
            <v>0</v>
          </cell>
        </row>
        <row r="1984">
          <cell r="U1984">
            <v>3780</v>
          </cell>
          <cell r="V1984">
            <v>0</v>
          </cell>
        </row>
        <row r="1985">
          <cell r="U1985">
            <v>14240</v>
          </cell>
          <cell r="V1985">
            <v>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2015</v>
          </cell>
        </row>
        <row r="11">
          <cell r="B11" t="str">
            <v>Dr. Francisco Martínez Cavalla</v>
          </cell>
        </row>
        <row r="12">
          <cell r="A12" t="str">
            <v>Jefe de Estadisticas</v>
          </cell>
          <cell r="B12" t="str">
            <v>Sra. María Inés Núñez González</v>
          </cell>
        </row>
      </sheetData>
      <sheetData sheetId="1"/>
      <sheetData sheetId="2">
        <row r="12">
          <cell r="D12">
            <v>62213</v>
          </cell>
        </row>
        <row r="13">
          <cell r="D13">
            <v>25241</v>
          </cell>
        </row>
        <row r="14">
          <cell r="D14">
            <v>26376</v>
          </cell>
        </row>
        <row r="15">
          <cell r="D15">
            <v>1209</v>
          </cell>
        </row>
        <row r="16">
          <cell r="D16">
            <v>0</v>
          </cell>
        </row>
        <row r="17">
          <cell r="D17">
            <v>1546</v>
          </cell>
        </row>
        <row r="18">
          <cell r="D18">
            <v>5153</v>
          </cell>
        </row>
        <row r="19">
          <cell r="D19">
            <v>3863</v>
          </cell>
        </row>
        <row r="20">
          <cell r="D20">
            <v>72</v>
          </cell>
        </row>
        <row r="21">
          <cell r="D21">
            <v>1218</v>
          </cell>
        </row>
        <row r="22">
          <cell r="D22">
            <v>0</v>
          </cell>
        </row>
        <row r="23">
          <cell r="D23">
            <v>52</v>
          </cell>
        </row>
        <row r="24">
          <cell r="D24">
            <v>2636</v>
          </cell>
        </row>
        <row r="25">
          <cell r="D25">
            <v>4744</v>
          </cell>
        </row>
        <row r="26">
          <cell r="D26">
            <v>3052</v>
          </cell>
        </row>
        <row r="27">
          <cell r="D27">
            <v>2</v>
          </cell>
        </row>
        <row r="28">
          <cell r="D28">
            <v>871</v>
          </cell>
        </row>
        <row r="30">
          <cell r="D30">
            <v>515</v>
          </cell>
        </row>
        <row r="31">
          <cell r="D31">
            <v>128</v>
          </cell>
        </row>
        <row r="32">
          <cell r="D32">
            <v>176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111</v>
          </cell>
          <cell r="G69">
            <v>2</v>
          </cell>
          <cell r="H69">
            <v>0</v>
          </cell>
        </row>
        <row r="70">
          <cell r="F70">
            <v>21</v>
          </cell>
          <cell r="G70">
            <v>3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51</v>
          </cell>
          <cell r="G72">
            <v>4</v>
          </cell>
          <cell r="H72">
            <v>0</v>
          </cell>
        </row>
        <row r="73">
          <cell r="F73">
            <v>69</v>
          </cell>
          <cell r="G73">
            <v>3</v>
          </cell>
          <cell r="H73">
            <v>0</v>
          </cell>
        </row>
        <row r="74">
          <cell r="F74">
            <v>3</v>
          </cell>
          <cell r="G74">
            <v>2</v>
          </cell>
          <cell r="H74">
            <v>0</v>
          </cell>
        </row>
        <row r="75">
          <cell r="F75">
            <v>3</v>
          </cell>
          <cell r="G75">
            <v>1</v>
          </cell>
          <cell r="H75">
            <v>0</v>
          </cell>
        </row>
        <row r="76">
          <cell r="F76">
            <v>154</v>
          </cell>
          <cell r="G76">
            <v>17</v>
          </cell>
          <cell r="H76">
            <v>1</v>
          </cell>
        </row>
        <row r="77">
          <cell r="F77">
            <v>8</v>
          </cell>
          <cell r="G77">
            <v>0</v>
          </cell>
          <cell r="H77">
            <v>0</v>
          </cell>
        </row>
        <row r="78">
          <cell r="F78">
            <v>44</v>
          </cell>
          <cell r="G78">
            <v>2</v>
          </cell>
          <cell r="H78">
            <v>1</v>
          </cell>
        </row>
        <row r="79">
          <cell r="F79">
            <v>8</v>
          </cell>
          <cell r="G79">
            <v>0</v>
          </cell>
          <cell r="H79">
            <v>0</v>
          </cell>
        </row>
        <row r="80">
          <cell r="F80">
            <v>37</v>
          </cell>
          <cell r="G80">
            <v>2</v>
          </cell>
          <cell r="H80">
            <v>1</v>
          </cell>
        </row>
        <row r="81">
          <cell r="F81">
            <v>70</v>
          </cell>
          <cell r="G81">
            <v>1</v>
          </cell>
          <cell r="H81">
            <v>0</v>
          </cell>
        </row>
        <row r="82">
          <cell r="F82">
            <v>56</v>
          </cell>
          <cell r="G82">
            <v>7</v>
          </cell>
          <cell r="H82">
            <v>0</v>
          </cell>
        </row>
        <row r="130">
          <cell r="E130">
            <v>1249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5726</v>
          </cell>
          <cell r="U15">
            <v>11590</v>
          </cell>
          <cell r="V15">
            <v>66364340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177</v>
          </cell>
          <cell r="U19">
            <v>14530</v>
          </cell>
          <cell r="V19">
            <v>2571810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2499</v>
          </cell>
          <cell r="U23">
            <v>5860</v>
          </cell>
          <cell r="V23">
            <v>14644140</v>
          </cell>
        </row>
        <row r="24">
          <cell r="D24">
            <v>1875</v>
          </cell>
          <cell r="U24">
            <v>7020</v>
          </cell>
          <cell r="V24">
            <v>13162500</v>
          </cell>
        </row>
        <row r="25">
          <cell r="D25">
            <v>2469</v>
          </cell>
          <cell r="U25">
            <v>8710</v>
          </cell>
          <cell r="V25">
            <v>21504990</v>
          </cell>
        </row>
        <row r="27">
          <cell r="D27">
            <v>1860</v>
          </cell>
          <cell r="U27">
            <v>1140</v>
          </cell>
          <cell r="V27">
            <v>2120400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129</v>
          </cell>
          <cell r="U30">
            <v>1550</v>
          </cell>
          <cell r="V30">
            <v>199950</v>
          </cell>
        </row>
        <row r="31">
          <cell r="D31">
            <v>1421</v>
          </cell>
          <cell r="U31">
            <v>1250</v>
          </cell>
          <cell r="V31">
            <v>1776250</v>
          </cell>
        </row>
        <row r="32">
          <cell r="U32">
            <v>1140</v>
          </cell>
          <cell r="V32">
            <v>0</v>
          </cell>
        </row>
        <row r="34">
          <cell r="D34">
            <v>51</v>
          </cell>
          <cell r="U34">
            <v>3750</v>
          </cell>
          <cell r="V34">
            <v>191250</v>
          </cell>
        </row>
        <row r="35">
          <cell r="D35">
            <v>300</v>
          </cell>
          <cell r="U35">
            <v>2060</v>
          </cell>
          <cell r="V35">
            <v>618000</v>
          </cell>
        </row>
        <row r="36">
          <cell r="D36">
            <v>40</v>
          </cell>
          <cell r="U36">
            <v>2060</v>
          </cell>
          <cell r="V36">
            <v>82400</v>
          </cell>
        </row>
        <row r="37">
          <cell r="D37">
            <v>360</v>
          </cell>
          <cell r="U37">
            <v>630</v>
          </cell>
          <cell r="V37">
            <v>226800</v>
          </cell>
        </row>
        <row r="39">
          <cell r="D39">
            <v>83</v>
          </cell>
          <cell r="U39">
            <v>1780</v>
          </cell>
          <cell r="V39">
            <v>147740</v>
          </cell>
        </row>
        <row r="40">
          <cell r="D40">
            <v>48</v>
          </cell>
          <cell r="U40">
            <v>1780</v>
          </cell>
          <cell r="V40">
            <v>85440</v>
          </cell>
        </row>
        <row r="41">
          <cell r="D41">
            <v>71</v>
          </cell>
          <cell r="U41">
            <v>1030</v>
          </cell>
          <cell r="V41">
            <v>73130</v>
          </cell>
        </row>
        <row r="43">
          <cell r="D43">
            <v>210</v>
          </cell>
          <cell r="U43">
            <v>780</v>
          </cell>
          <cell r="V43">
            <v>163800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583</v>
          </cell>
          <cell r="U48">
            <v>680</v>
          </cell>
          <cell r="V48">
            <v>396440</v>
          </cell>
        </row>
        <row r="49">
          <cell r="D49">
            <v>4411</v>
          </cell>
          <cell r="U49">
            <v>2060</v>
          </cell>
          <cell r="V49">
            <v>9086660</v>
          </cell>
        </row>
        <row r="50">
          <cell r="D50">
            <v>69</v>
          </cell>
          <cell r="U50">
            <v>15480</v>
          </cell>
          <cell r="V50">
            <v>1068120</v>
          </cell>
        </row>
        <row r="51">
          <cell r="D51">
            <v>118</v>
          </cell>
          <cell r="U51">
            <v>35550</v>
          </cell>
          <cell r="V51">
            <v>4194900</v>
          </cell>
        </row>
        <row r="52">
          <cell r="D52">
            <v>15</v>
          </cell>
          <cell r="V52">
            <v>133050</v>
          </cell>
        </row>
        <row r="59">
          <cell r="U59">
            <v>34010</v>
          </cell>
          <cell r="V59">
            <v>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U62">
            <v>141410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U65">
            <v>68290</v>
          </cell>
          <cell r="V65">
            <v>0</v>
          </cell>
        </row>
        <row r="66">
          <cell r="V66">
            <v>0</v>
          </cell>
        </row>
        <row r="67">
          <cell r="V67">
            <v>0</v>
          </cell>
        </row>
        <row r="68">
          <cell r="U68">
            <v>61270</v>
          </cell>
          <cell r="V68">
            <v>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U75">
            <v>5040</v>
          </cell>
          <cell r="V75">
            <v>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36</v>
          </cell>
          <cell r="U79">
            <v>6600</v>
          </cell>
          <cell r="V79">
            <v>237600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26172100</v>
          </cell>
        </row>
        <row r="174">
          <cell r="V174">
            <v>32647450</v>
          </cell>
        </row>
        <row r="243">
          <cell r="V243">
            <v>4298910</v>
          </cell>
        </row>
        <row r="289">
          <cell r="V289">
            <v>0</v>
          </cell>
        </row>
        <row r="295">
          <cell r="V295">
            <v>7531960</v>
          </cell>
        </row>
        <row r="362">
          <cell r="V362">
            <v>8962280</v>
          </cell>
        </row>
        <row r="405">
          <cell r="V405">
            <v>204370</v>
          </cell>
        </row>
        <row r="428">
          <cell r="V428">
            <v>5005640</v>
          </cell>
        </row>
        <row r="446">
          <cell r="V446">
            <v>0</v>
          </cell>
        </row>
        <row r="456">
          <cell r="V456">
            <v>116280</v>
          </cell>
        </row>
        <row r="500">
          <cell r="V500">
            <v>3335590</v>
          </cell>
        </row>
        <row r="535">
          <cell r="V535">
            <v>24719880</v>
          </cell>
        </row>
        <row r="590">
          <cell r="V590">
            <v>47980</v>
          </cell>
        </row>
        <row r="615">
          <cell r="V615">
            <v>45010640</v>
          </cell>
        </row>
        <row r="633">
          <cell r="V633">
            <v>11890770</v>
          </cell>
        </row>
        <row r="634">
          <cell r="V634">
            <v>670720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768</v>
          </cell>
          <cell r="V768">
            <v>5593680</v>
          </cell>
        </row>
        <row r="783">
          <cell r="V783">
            <v>0</v>
          </cell>
        </row>
        <row r="795">
          <cell r="D795">
            <v>319</v>
          </cell>
          <cell r="U795">
            <v>7110</v>
          </cell>
          <cell r="V795">
            <v>2268090</v>
          </cell>
        </row>
        <row r="796">
          <cell r="D796">
            <v>257</v>
          </cell>
          <cell r="U796">
            <v>2780</v>
          </cell>
          <cell r="V796">
            <v>714460</v>
          </cell>
        </row>
        <row r="797">
          <cell r="D797">
            <v>596</v>
          </cell>
          <cell r="U797">
            <v>2780</v>
          </cell>
          <cell r="V797">
            <v>1656880</v>
          </cell>
        </row>
        <row r="798">
          <cell r="D798">
            <v>6</v>
          </cell>
          <cell r="U798">
            <v>11080</v>
          </cell>
          <cell r="V798">
            <v>66480</v>
          </cell>
        </row>
        <row r="799">
          <cell r="D799">
            <v>48</v>
          </cell>
          <cell r="U799">
            <v>12980</v>
          </cell>
          <cell r="V799">
            <v>623040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16</v>
          </cell>
          <cell r="U805">
            <v>14690</v>
          </cell>
          <cell r="V805">
            <v>235040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24454815</v>
          </cell>
        </row>
        <row r="961">
          <cell r="V961">
            <v>1935545</v>
          </cell>
        </row>
        <row r="1036">
          <cell r="U1036">
            <v>9390</v>
          </cell>
          <cell r="V1036">
            <v>0</v>
          </cell>
        </row>
        <row r="1037">
          <cell r="V1037">
            <v>396800</v>
          </cell>
        </row>
        <row r="1098">
          <cell r="V1098">
            <v>3647370</v>
          </cell>
        </row>
        <row r="1166">
          <cell r="V1166">
            <v>1615780</v>
          </cell>
        </row>
        <row r="1197">
          <cell r="D1197">
            <v>719</v>
          </cell>
          <cell r="U1197">
            <v>5030</v>
          </cell>
          <cell r="V1197">
            <v>3616570</v>
          </cell>
        </row>
        <row r="1198">
          <cell r="D1198">
            <v>22</v>
          </cell>
          <cell r="U1198">
            <v>14180</v>
          </cell>
          <cell r="V1198">
            <v>311960</v>
          </cell>
        </row>
        <row r="1199">
          <cell r="D1199">
            <v>52</v>
          </cell>
          <cell r="U1199">
            <v>24050</v>
          </cell>
          <cell r="V1199">
            <v>1250600</v>
          </cell>
        </row>
        <row r="1200">
          <cell r="U1200">
            <v>45920</v>
          </cell>
          <cell r="V1200">
            <v>0</v>
          </cell>
        </row>
        <row r="1201">
          <cell r="D1201">
            <v>95</v>
          </cell>
          <cell r="U1201">
            <v>51180</v>
          </cell>
          <cell r="V1201">
            <v>4862100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721680</v>
          </cell>
        </row>
        <row r="1287">
          <cell r="V1287">
            <v>268780</v>
          </cell>
        </row>
        <row r="1354">
          <cell r="D1354">
            <v>52</v>
          </cell>
          <cell r="U1354">
            <v>34730</v>
          </cell>
          <cell r="V1354">
            <v>1805960</v>
          </cell>
        </row>
        <row r="1355">
          <cell r="U1355">
            <v>41890</v>
          </cell>
          <cell r="V1355">
            <v>0</v>
          </cell>
        </row>
        <row r="1356">
          <cell r="D1356">
            <v>14</v>
          </cell>
          <cell r="U1356">
            <v>44620</v>
          </cell>
          <cell r="V1356">
            <v>624680</v>
          </cell>
        </row>
        <row r="1357">
          <cell r="V1357">
            <v>38322167.5</v>
          </cell>
        </row>
        <row r="1441">
          <cell r="V1441">
            <v>754410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9962065</v>
          </cell>
        </row>
        <row r="1574">
          <cell r="V1574">
            <v>10215910</v>
          </cell>
        </row>
        <row r="1592">
          <cell r="V1592">
            <v>1909450</v>
          </cell>
        </row>
        <row r="1597">
          <cell r="V1597">
            <v>6346297.5</v>
          </cell>
        </row>
        <row r="1631">
          <cell r="V1631">
            <v>8569275</v>
          </cell>
        </row>
        <row r="1632">
          <cell r="V1632">
            <v>0</v>
          </cell>
        </row>
        <row r="1633">
          <cell r="D1633">
            <v>24</v>
          </cell>
          <cell r="F1633">
            <v>1</v>
          </cell>
          <cell r="V1633">
            <v>2459555</v>
          </cell>
        </row>
        <row r="1634">
          <cell r="D1634">
            <v>46</v>
          </cell>
          <cell r="V1634">
            <v>6109720</v>
          </cell>
        </row>
        <row r="1635">
          <cell r="V1635">
            <v>0</v>
          </cell>
        </row>
        <row r="1636">
          <cell r="D1636">
            <v>68</v>
          </cell>
          <cell r="U1636">
            <v>132810</v>
          </cell>
          <cell r="V1636">
            <v>9031080</v>
          </cell>
        </row>
        <row r="1637">
          <cell r="D1637">
            <v>3</v>
          </cell>
          <cell r="U1637">
            <v>139740</v>
          </cell>
          <cell r="V1637">
            <v>419220</v>
          </cell>
        </row>
        <row r="1639">
          <cell r="V1639">
            <v>10311160</v>
          </cell>
        </row>
        <row r="1845">
          <cell r="D1845">
            <v>9</v>
          </cell>
          <cell r="F1845">
            <v>1</v>
          </cell>
          <cell r="G1845">
            <v>0</v>
          </cell>
          <cell r="V1845">
            <v>583085</v>
          </cell>
        </row>
        <row r="1849">
          <cell r="D1849">
            <v>34</v>
          </cell>
          <cell r="V1849">
            <v>2404760</v>
          </cell>
        </row>
        <row r="1861">
          <cell r="D1861">
            <v>33</v>
          </cell>
          <cell r="U1861">
            <v>28810</v>
          </cell>
          <cell r="V1861">
            <v>950730</v>
          </cell>
        </row>
        <row r="1863">
          <cell r="D1863">
            <v>195</v>
          </cell>
          <cell r="U1863">
            <v>18980</v>
          </cell>
          <cell r="V1863">
            <v>3701100</v>
          </cell>
        </row>
        <row r="1864">
          <cell r="D1864">
            <v>173</v>
          </cell>
          <cell r="U1864">
            <v>59710</v>
          </cell>
          <cell r="V1864">
            <v>10329830</v>
          </cell>
        </row>
        <row r="1865">
          <cell r="D1865">
            <v>1</v>
          </cell>
          <cell r="U1865">
            <v>74020</v>
          </cell>
          <cell r="V1865">
            <v>74020</v>
          </cell>
        </row>
        <row r="1866">
          <cell r="D1866">
            <v>200</v>
          </cell>
          <cell r="U1866">
            <v>2600</v>
          </cell>
          <cell r="V1866">
            <v>520000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6063060</v>
          </cell>
        </row>
        <row r="1889">
          <cell r="V1889">
            <v>5959310</v>
          </cell>
        </row>
        <row r="1914">
          <cell r="V1914">
            <v>2754590</v>
          </cell>
        </row>
        <row r="1941">
          <cell r="D1941">
            <v>159</v>
          </cell>
          <cell r="U1941">
            <v>19890</v>
          </cell>
          <cell r="V1941">
            <v>3162510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71</v>
          </cell>
          <cell r="U1981">
            <v>36070</v>
          </cell>
          <cell r="V1981">
            <v>2560970</v>
          </cell>
        </row>
        <row r="1983">
          <cell r="D1983">
            <v>4</v>
          </cell>
          <cell r="U1983">
            <v>7100</v>
          </cell>
          <cell r="V1983">
            <v>28400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2015</v>
          </cell>
        </row>
        <row r="11">
          <cell r="B11" t="str">
            <v>Dr. Francisco Martínez Cavalla</v>
          </cell>
        </row>
        <row r="12">
          <cell r="A12" t="str">
            <v>Jefe de Estadisticas</v>
          </cell>
          <cell r="B12" t="str">
            <v>Sra. María Inés Núñez González</v>
          </cell>
        </row>
      </sheetData>
      <sheetData sheetId="1"/>
      <sheetData sheetId="2">
        <row r="12">
          <cell r="D12">
            <v>59761</v>
          </cell>
        </row>
        <row r="13">
          <cell r="D13">
            <v>24247</v>
          </cell>
        </row>
        <row r="14">
          <cell r="D14">
            <v>25746</v>
          </cell>
        </row>
        <row r="15">
          <cell r="D15">
            <v>1067</v>
          </cell>
        </row>
        <row r="16">
          <cell r="D16">
            <v>0</v>
          </cell>
        </row>
        <row r="17">
          <cell r="D17">
            <v>1402</v>
          </cell>
        </row>
        <row r="18">
          <cell r="D18">
            <v>4360</v>
          </cell>
        </row>
        <row r="19">
          <cell r="D19">
            <v>3423</v>
          </cell>
        </row>
        <row r="20">
          <cell r="D20">
            <v>41</v>
          </cell>
        </row>
        <row r="21">
          <cell r="D21">
            <v>896</v>
          </cell>
        </row>
        <row r="22">
          <cell r="D22">
            <v>0</v>
          </cell>
        </row>
        <row r="23">
          <cell r="D23">
            <v>43</v>
          </cell>
        </row>
        <row r="24">
          <cell r="D24">
            <v>2896</v>
          </cell>
        </row>
        <row r="25">
          <cell r="D25">
            <v>3761</v>
          </cell>
        </row>
        <row r="26">
          <cell r="D26">
            <v>2290</v>
          </cell>
        </row>
        <row r="27">
          <cell r="D27">
            <v>2</v>
          </cell>
        </row>
        <row r="28">
          <cell r="D28">
            <v>818</v>
          </cell>
        </row>
        <row r="30">
          <cell r="D30">
            <v>356</v>
          </cell>
        </row>
        <row r="31">
          <cell r="D31">
            <v>100</v>
          </cell>
        </row>
        <row r="32">
          <cell r="D32">
            <v>195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87</v>
          </cell>
          <cell r="G69">
            <v>0</v>
          </cell>
          <cell r="H69">
            <v>0</v>
          </cell>
        </row>
        <row r="70">
          <cell r="F70">
            <v>30</v>
          </cell>
          <cell r="G70">
            <v>0</v>
          </cell>
          <cell r="H70">
            <v>0</v>
          </cell>
        </row>
        <row r="71">
          <cell r="F71">
            <v>1</v>
          </cell>
          <cell r="G71">
            <v>0</v>
          </cell>
          <cell r="H71">
            <v>0</v>
          </cell>
        </row>
        <row r="72">
          <cell r="F72">
            <v>61</v>
          </cell>
          <cell r="G72">
            <v>0</v>
          </cell>
          <cell r="H72">
            <v>0</v>
          </cell>
        </row>
        <row r="73">
          <cell r="F73">
            <v>71</v>
          </cell>
          <cell r="G73">
            <v>0</v>
          </cell>
          <cell r="H73">
            <v>0</v>
          </cell>
        </row>
        <row r="74">
          <cell r="F74">
            <v>0</v>
          </cell>
          <cell r="G74">
            <v>1</v>
          </cell>
          <cell r="H74">
            <v>0</v>
          </cell>
        </row>
        <row r="75">
          <cell r="F75">
            <v>2</v>
          </cell>
          <cell r="G75">
            <v>0</v>
          </cell>
          <cell r="H75">
            <v>0</v>
          </cell>
        </row>
        <row r="76">
          <cell r="F76">
            <v>148</v>
          </cell>
          <cell r="G76">
            <v>27</v>
          </cell>
          <cell r="H76">
            <v>1</v>
          </cell>
        </row>
        <row r="77">
          <cell r="F77">
            <v>3</v>
          </cell>
          <cell r="G77">
            <v>0</v>
          </cell>
          <cell r="H77">
            <v>0</v>
          </cell>
        </row>
        <row r="78">
          <cell r="F78">
            <v>31</v>
          </cell>
          <cell r="G78">
            <v>2</v>
          </cell>
          <cell r="H78">
            <v>0</v>
          </cell>
        </row>
        <row r="79">
          <cell r="F79">
            <v>9</v>
          </cell>
          <cell r="G79">
            <v>0</v>
          </cell>
          <cell r="H79">
            <v>0</v>
          </cell>
        </row>
        <row r="80">
          <cell r="F80">
            <v>31</v>
          </cell>
          <cell r="G80">
            <v>2</v>
          </cell>
          <cell r="H80">
            <v>1</v>
          </cell>
        </row>
        <row r="81">
          <cell r="F81">
            <v>63</v>
          </cell>
          <cell r="G81">
            <v>0</v>
          </cell>
          <cell r="H81">
            <v>0</v>
          </cell>
        </row>
        <row r="82">
          <cell r="F82">
            <v>56</v>
          </cell>
          <cell r="G82">
            <v>6</v>
          </cell>
          <cell r="H82">
            <v>1</v>
          </cell>
        </row>
        <row r="130">
          <cell r="E130">
            <v>1350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5719</v>
          </cell>
          <cell r="U15">
            <v>11590</v>
          </cell>
          <cell r="V15">
            <v>66283210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51</v>
          </cell>
          <cell r="U19">
            <v>14530</v>
          </cell>
          <cell r="V19">
            <v>741030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2058</v>
          </cell>
          <cell r="U23">
            <v>5860</v>
          </cell>
          <cell r="V23">
            <v>12059880</v>
          </cell>
        </row>
        <row r="24">
          <cell r="D24">
            <v>1358</v>
          </cell>
          <cell r="U24">
            <v>7020</v>
          </cell>
          <cell r="V24">
            <v>9533160</v>
          </cell>
        </row>
        <row r="25">
          <cell r="D25">
            <v>1995</v>
          </cell>
          <cell r="U25">
            <v>8710</v>
          </cell>
          <cell r="V25">
            <v>17376450</v>
          </cell>
        </row>
        <row r="27">
          <cell r="D27">
            <v>1671</v>
          </cell>
          <cell r="U27">
            <v>1140</v>
          </cell>
          <cell r="V27">
            <v>1904940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85</v>
          </cell>
          <cell r="U30">
            <v>1550</v>
          </cell>
          <cell r="V30">
            <v>131750</v>
          </cell>
        </row>
        <row r="31">
          <cell r="D31">
            <v>1060</v>
          </cell>
          <cell r="U31">
            <v>1250</v>
          </cell>
          <cell r="V31">
            <v>1325000</v>
          </cell>
        </row>
        <row r="32">
          <cell r="U32">
            <v>1140</v>
          </cell>
          <cell r="V32">
            <v>0</v>
          </cell>
        </row>
        <row r="34">
          <cell r="D34">
            <v>20</v>
          </cell>
          <cell r="U34">
            <v>3750</v>
          </cell>
          <cell r="V34">
            <v>75000</v>
          </cell>
        </row>
        <row r="35">
          <cell r="D35">
            <v>296</v>
          </cell>
          <cell r="U35">
            <v>2060</v>
          </cell>
          <cell r="V35">
            <v>609760</v>
          </cell>
        </row>
        <row r="36">
          <cell r="D36">
            <v>40</v>
          </cell>
          <cell r="U36">
            <v>2060</v>
          </cell>
          <cell r="V36">
            <v>82400</v>
          </cell>
        </row>
        <row r="37">
          <cell r="D37">
            <v>360</v>
          </cell>
          <cell r="U37">
            <v>630</v>
          </cell>
          <cell r="V37">
            <v>226800</v>
          </cell>
        </row>
        <row r="39">
          <cell r="D39">
            <v>220</v>
          </cell>
          <cell r="U39">
            <v>1780</v>
          </cell>
          <cell r="V39">
            <v>391600</v>
          </cell>
        </row>
        <row r="40">
          <cell r="D40">
            <v>26</v>
          </cell>
          <cell r="U40">
            <v>1780</v>
          </cell>
          <cell r="V40">
            <v>46280</v>
          </cell>
        </row>
        <row r="41">
          <cell r="D41">
            <v>294</v>
          </cell>
          <cell r="U41">
            <v>1030</v>
          </cell>
          <cell r="V41">
            <v>302820</v>
          </cell>
        </row>
        <row r="43">
          <cell r="D43">
            <v>193</v>
          </cell>
          <cell r="U43">
            <v>780</v>
          </cell>
          <cell r="V43">
            <v>150540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586</v>
          </cell>
          <cell r="U48">
            <v>680</v>
          </cell>
          <cell r="V48">
            <v>398480</v>
          </cell>
        </row>
        <row r="49">
          <cell r="D49">
            <v>4707</v>
          </cell>
          <cell r="U49">
            <v>2060</v>
          </cell>
          <cell r="V49">
            <v>9696420</v>
          </cell>
        </row>
        <row r="50">
          <cell r="D50">
            <v>69</v>
          </cell>
          <cell r="U50">
            <v>15480</v>
          </cell>
          <cell r="V50">
            <v>1068120</v>
          </cell>
        </row>
        <row r="51">
          <cell r="D51">
            <v>122</v>
          </cell>
          <cell r="U51">
            <v>35550</v>
          </cell>
          <cell r="V51">
            <v>4337100</v>
          </cell>
        </row>
        <row r="52">
          <cell r="D52">
            <v>8</v>
          </cell>
          <cell r="V52">
            <v>70960</v>
          </cell>
        </row>
        <row r="59">
          <cell r="D59">
            <v>5528</v>
          </cell>
          <cell r="U59">
            <v>34010</v>
          </cell>
          <cell r="V59">
            <v>188007280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230</v>
          </cell>
          <cell r="U62">
            <v>141410</v>
          </cell>
          <cell r="V62">
            <v>32524300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176</v>
          </cell>
          <cell r="U65">
            <v>68290</v>
          </cell>
          <cell r="V65">
            <v>12019040</v>
          </cell>
        </row>
        <row r="66">
          <cell r="D66">
            <v>110</v>
          </cell>
          <cell r="V66">
            <v>7511900</v>
          </cell>
        </row>
        <row r="67">
          <cell r="V67">
            <v>0</v>
          </cell>
        </row>
        <row r="68">
          <cell r="D68">
            <v>173</v>
          </cell>
          <cell r="U68">
            <v>61270</v>
          </cell>
          <cell r="V68">
            <v>10599710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D75">
            <v>1</v>
          </cell>
          <cell r="U75">
            <v>5040</v>
          </cell>
          <cell r="V75">
            <v>5040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37</v>
          </cell>
          <cell r="U79">
            <v>6600</v>
          </cell>
          <cell r="V79">
            <v>244200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25129990</v>
          </cell>
        </row>
        <row r="174">
          <cell r="V174">
            <v>31746080</v>
          </cell>
        </row>
        <row r="243">
          <cell r="V243">
            <v>3804330</v>
          </cell>
        </row>
        <row r="289">
          <cell r="V289">
            <v>0</v>
          </cell>
        </row>
        <row r="295">
          <cell r="V295">
            <v>6804210</v>
          </cell>
        </row>
        <row r="362">
          <cell r="V362">
            <v>7968960</v>
          </cell>
        </row>
        <row r="405">
          <cell r="V405">
            <v>110960</v>
          </cell>
        </row>
        <row r="428">
          <cell r="V428">
            <v>3716010</v>
          </cell>
        </row>
        <row r="446">
          <cell r="V446">
            <v>0</v>
          </cell>
        </row>
        <row r="456">
          <cell r="V456">
            <v>78940</v>
          </cell>
        </row>
        <row r="500">
          <cell r="V500">
            <v>3840240</v>
          </cell>
        </row>
        <row r="535">
          <cell r="V535">
            <v>18458870</v>
          </cell>
        </row>
        <row r="590">
          <cell r="V590">
            <v>47980</v>
          </cell>
        </row>
        <row r="615">
          <cell r="V615">
            <v>38985610</v>
          </cell>
        </row>
        <row r="633">
          <cell r="V633">
            <v>10064750</v>
          </cell>
        </row>
        <row r="634">
          <cell r="V634">
            <v>524000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922</v>
          </cell>
          <cell r="V768">
            <v>6761900</v>
          </cell>
        </row>
        <row r="783">
          <cell r="V783">
            <v>0</v>
          </cell>
        </row>
        <row r="795">
          <cell r="D795">
            <v>258</v>
          </cell>
          <cell r="U795">
            <v>7110</v>
          </cell>
          <cell r="V795">
            <v>1834380</v>
          </cell>
        </row>
        <row r="796">
          <cell r="D796">
            <v>203</v>
          </cell>
          <cell r="U796">
            <v>2780</v>
          </cell>
          <cell r="V796">
            <v>564340</v>
          </cell>
        </row>
        <row r="797">
          <cell r="D797">
            <v>591</v>
          </cell>
          <cell r="U797">
            <v>2780</v>
          </cell>
          <cell r="V797">
            <v>1642980</v>
          </cell>
        </row>
        <row r="798">
          <cell r="D798">
            <v>5</v>
          </cell>
          <cell r="U798">
            <v>11080</v>
          </cell>
          <cell r="V798">
            <v>55400</v>
          </cell>
        </row>
        <row r="799">
          <cell r="D799">
            <v>48</v>
          </cell>
          <cell r="U799">
            <v>12980</v>
          </cell>
          <cell r="V799">
            <v>623040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14</v>
          </cell>
          <cell r="U805">
            <v>14690</v>
          </cell>
          <cell r="V805">
            <v>205660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13634610</v>
          </cell>
        </row>
        <row r="961">
          <cell r="V961">
            <v>3423180</v>
          </cell>
        </row>
        <row r="1036">
          <cell r="D1036">
            <v>1</v>
          </cell>
          <cell r="U1036">
            <v>9390</v>
          </cell>
          <cell r="V1036">
            <v>9390</v>
          </cell>
        </row>
        <row r="1037">
          <cell r="V1037">
            <v>151340</v>
          </cell>
        </row>
        <row r="1098">
          <cell r="V1098">
            <v>4166480</v>
          </cell>
        </row>
        <row r="1166">
          <cell r="V1166">
            <v>1558870</v>
          </cell>
        </row>
        <row r="1197">
          <cell r="D1197">
            <v>645</v>
          </cell>
          <cell r="U1197">
            <v>5030</v>
          </cell>
          <cell r="V1197">
            <v>3244350</v>
          </cell>
        </row>
        <row r="1198">
          <cell r="D1198">
            <v>20</v>
          </cell>
          <cell r="U1198">
            <v>14180</v>
          </cell>
          <cell r="V1198">
            <v>283600</v>
          </cell>
        </row>
        <row r="1199">
          <cell r="D1199">
            <v>24</v>
          </cell>
          <cell r="U1199">
            <v>24050</v>
          </cell>
          <cell r="V1199">
            <v>577200</v>
          </cell>
        </row>
        <row r="1200">
          <cell r="U1200">
            <v>45920</v>
          </cell>
          <cell r="V1200">
            <v>0</v>
          </cell>
        </row>
        <row r="1201">
          <cell r="D1201">
            <v>86</v>
          </cell>
          <cell r="U1201">
            <v>51180</v>
          </cell>
          <cell r="V1201">
            <v>4401480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40120</v>
          </cell>
        </row>
        <row r="1287">
          <cell r="V1287">
            <v>170120</v>
          </cell>
        </row>
        <row r="1354">
          <cell r="D1354">
            <v>19</v>
          </cell>
          <cell r="U1354">
            <v>34730</v>
          </cell>
          <cell r="V1354">
            <v>659870</v>
          </cell>
        </row>
        <row r="1355">
          <cell r="U1355">
            <v>41890</v>
          </cell>
          <cell r="V1355">
            <v>0</v>
          </cell>
        </row>
        <row r="1356">
          <cell r="D1356">
            <v>3</v>
          </cell>
          <cell r="U1356">
            <v>44620</v>
          </cell>
          <cell r="V1356">
            <v>133860</v>
          </cell>
        </row>
        <row r="1357">
          <cell r="V1357">
            <v>37707017.5</v>
          </cell>
        </row>
        <row r="1441">
          <cell r="V1441">
            <v>331530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5949300</v>
          </cell>
        </row>
        <row r="1574">
          <cell r="V1574">
            <v>11195140</v>
          </cell>
        </row>
        <row r="1592">
          <cell r="V1592">
            <v>1792940</v>
          </cell>
        </row>
        <row r="1597">
          <cell r="V1597">
            <v>6161932.5</v>
          </cell>
        </row>
        <row r="1631">
          <cell r="V1631">
            <v>7589340</v>
          </cell>
        </row>
        <row r="1632">
          <cell r="V1632">
            <v>0</v>
          </cell>
        </row>
        <row r="1633">
          <cell r="D1633">
            <v>24</v>
          </cell>
          <cell r="V1633">
            <v>2409360</v>
          </cell>
        </row>
        <row r="1634">
          <cell r="D1634">
            <v>39</v>
          </cell>
          <cell r="V1634">
            <v>5179980</v>
          </cell>
        </row>
        <row r="1635">
          <cell r="V1635">
            <v>0</v>
          </cell>
        </row>
        <row r="1636">
          <cell r="D1636">
            <v>80</v>
          </cell>
          <cell r="U1636">
            <v>132810</v>
          </cell>
          <cell r="V1636">
            <v>10624800</v>
          </cell>
        </row>
        <row r="1637">
          <cell r="D1637">
            <v>3</v>
          </cell>
          <cell r="U1637">
            <v>139740</v>
          </cell>
          <cell r="V1637">
            <v>419220</v>
          </cell>
        </row>
        <row r="1639">
          <cell r="V1639">
            <v>10910562.5</v>
          </cell>
        </row>
        <row r="1845">
          <cell r="D1845">
            <v>14</v>
          </cell>
          <cell r="F1845">
            <v>1</v>
          </cell>
          <cell r="G1845">
            <v>0</v>
          </cell>
          <cell r="V1845">
            <v>805475</v>
          </cell>
        </row>
        <row r="1849">
          <cell r="D1849">
            <v>31</v>
          </cell>
          <cell r="V1849">
            <v>2194280</v>
          </cell>
        </row>
        <row r="1861">
          <cell r="D1861">
            <v>64</v>
          </cell>
          <cell r="U1861">
            <v>28810</v>
          </cell>
          <cell r="V1861">
            <v>1843840</v>
          </cell>
        </row>
        <row r="1863">
          <cell r="D1863">
            <v>175</v>
          </cell>
          <cell r="U1863">
            <v>18980</v>
          </cell>
          <cell r="V1863">
            <v>3321500</v>
          </cell>
        </row>
        <row r="1864">
          <cell r="D1864">
            <v>167</v>
          </cell>
          <cell r="U1864">
            <v>59710</v>
          </cell>
          <cell r="V1864">
            <v>9971570</v>
          </cell>
        </row>
        <row r="1865">
          <cell r="U1865">
            <v>74020</v>
          </cell>
          <cell r="V1865">
            <v>0</v>
          </cell>
        </row>
        <row r="1866">
          <cell r="D1866">
            <v>163</v>
          </cell>
          <cell r="U1866">
            <v>2600</v>
          </cell>
          <cell r="V1866">
            <v>423800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4578140</v>
          </cell>
        </row>
        <row r="1889">
          <cell r="V1889">
            <v>4259880</v>
          </cell>
        </row>
        <row r="1914">
          <cell r="V1914">
            <v>1490980</v>
          </cell>
        </row>
        <row r="1941">
          <cell r="D1941">
            <v>301</v>
          </cell>
          <cell r="U1941">
            <v>19890</v>
          </cell>
          <cell r="V1941">
            <v>5986890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86</v>
          </cell>
          <cell r="U1981">
            <v>36070</v>
          </cell>
          <cell r="V1981">
            <v>3102020</v>
          </cell>
        </row>
        <row r="1983">
          <cell r="D1983">
            <v>4</v>
          </cell>
          <cell r="U1983">
            <v>7100</v>
          </cell>
          <cell r="V1983">
            <v>28400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2015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59928</v>
          </cell>
        </row>
        <row r="13">
          <cell r="D13">
            <v>24913</v>
          </cell>
        </row>
        <row r="14">
          <cell r="D14">
            <v>24182</v>
          </cell>
        </row>
        <row r="15">
          <cell r="D15">
            <v>916</v>
          </cell>
        </row>
        <row r="16">
          <cell r="D16">
            <v>0</v>
          </cell>
        </row>
        <row r="17">
          <cell r="D17">
            <v>1436</v>
          </cell>
        </row>
        <row r="18">
          <cell r="D18">
            <v>5295</v>
          </cell>
        </row>
        <row r="19">
          <cell r="D19">
            <v>4501</v>
          </cell>
        </row>
        <row r="20">
          <cell r="D20">
            <v>33</v>
          </cell>
        </row>
        <row r="21">
          <cell r="D21">
            <v>761</v>
          </cell>
        </row>
        <row r="22">
          <cell r="D22">
            <v>22</v>
          </cell>
        </row>
        <row r="23">
          <cell r="D23">
            <v>68</v>
          </cell>
        </row>
        <row r="24">
          <cell r="D24">
            <v>3096</v>
          </cell>
        </row>
        <row r="25">
          <cell r="D25">
            <v>4217</v>
          </cell>
        </row>
        <row r="26">
          <cell r="D26">
            <v>2587</v>
          </cell>
        </row>
        <row r="27">
          <cell r="D27">
            <v>0</v>
          </cell>
        </row>
        <row r="28">
          <cell r="D28">
            <v>767</v>
          </cell>
        </row>
        <row r="30">
          <cell r="D30">
            <v>484</v>
          </cell>
        </row>
        <row r="31">
          <cell r="D31">
            <v>200</v>
          </cell>
        </row>
        <row r="32">
          <cell r="D32">
            <v>179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194</v>
          </cell>
          <cell r="G69">
            <v>2</v>
          </cell>
          <cell r="H69">
            <v>0</v>
          </cell>
        </row>
        <row r="70">
          <cell r="F70">
            <v>26</v>
          </cell>
          <cell r="G70">
            <v>5</v>
          </cell>
          <cell r="H70">
            <v>0</v>
          </cell>
        </row>
        <row r="71">
          <cell r="F71">
            <v>7</v>
          </cell>
          <cell r="G71">
            <v>1</v>
          </cell>
          <cell r="H71">
            <v>0</v>
          </cell>
        </row>
        <row r="72">
          <cell r="F72">
            <v>66</v>
          </cell>
          <cell r="G72">
            <v>1</v>
          </cell>
          <cell r="H72">
            <v>0</v>
          </cell>
        </row>
        <row r="73">
          <cell r="F73">
            <v>125</v>
          </cell>
          <cell r="G73">
            <v>2</v>
          </cell>
          <cell r="H73">
            <v>0</v>
          </cell>
        </row>
        <row r="74">
          <cell r="F74">
            <v>3</v>
          </cell>
          <cell r="G74">
            <v>0</v>
          </cell>
          <cell r="H74">
            <v>0</v>
          </cell>
        </row>
        <row r="75">
          <cell r="F75">
            <v>6</v>
          </cell>
          <cell r="G75">
            <v>0</v>
          </cell>
          <cell r="H75">
            <v>0</v>
          </cell>
        </row>
        <row r="76">
          <cell r="F76">
            <v>156</v>
          </cell>
          <cell r="G76">
            <v>14</v>
          </cell>
          <cell r="H76">
            <v>0</v>
          </cell>
        </row>
        <row r="77">
          <cell r="F77">
            <v>6</v>
          </cell>
          <cell r="G77">
            <v>0</v>
          </cell>
          <cell r="H77">
            <v>0</v>
          </cell>
        </row>
        <row r="78">
          <cell r="F78">
            <v>42</v>
          </cell>
          <cell r="G78">
            <v>2</v>
          </cell>
          <cell r="H78">
            <v>0</v>
          </cell>
        </row>
        <row r="79">
          <cell r="F79">
            <v>6</v>
          </cell>
          <cell r="G79">
            <v>0</v>
          </cell>
          <cell r="H79">
            <v>0</v>
          </cell>
        </row>
        <row r="80">
          <cell r="F80">
            <v>31</v>
          </cell>
          <cell r="G80">
            <v>2</v>
          </cell>
          <cell r="H80">
            <v>0</v>
          </cell>
        </row>
        <row r="81">
          <cell r="F81">
            <v>70</v>
          </cell>
          <cell r="G81">
            <v>2</v>
          </cell>
          <cell r="H81">
            <v>0</v>
          </cell>
        </row>
        <row r="82">
          <cell r="F82">
            <v>33</v>
          </cell>
          <cell r="G82">
            <v>1</v>
          </cell>
          <cell r="H82">
            <v>0</v>
          </cell>
        </row>
        <row r="130">
          <cell r="E130">
            <v>1463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6208</v>
          </cell>
          <cell r="U15">
            <v>11250</v>
          </cell>
          <cell r="V15">
            <v>69840000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57</v>
          </cell>
          <cell r="U19">
            <v>14110</v>
          </cell>
          <cell r="V19">
            <v>804270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1985</v>
          </cell>
          <cell r="U23">
            <v>5690</v>
          </cell>
          <cell r="V23">
            <v>11294650</v>
          </cell>
        </row>
        <row r="24">
          <cell r="D24">
            <v>1129</v>
          </cell>
          <cell r="U24">
            <v>6820</v>
          </cell>
          <cell r="V24">
            <v>7699780</v>
          </cell>
        </row>
        <row r="25">
          <cell r="D25">
            <v>2068</v>
          </cell>
          <cell r="U25">
            <v>8460</v>
          </cell>
          <cell r="V25">
            <v>17495280</v>
          </cell>
        </row>
        <row r="27">
          <cell r="D27">
            <v>1530</v>
          </cell>
          <cell r="U27">
            <v>1110</v>
          </cell>
          <cell r="V27">
            <v>1698300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88</v>
          </cell>
          <cell r="U30">
            <v>1500</v>
          </cell>
          <cell r="V30">
            <v>132000</v>
          </cell>
        </row>
        <row r="31">
          <cell r="D31">
            <v>1070</v>
          </cell>
          <cell r="U31">
            <v>1210</v>
          </cell>
          <cell r="V31">
            <v>1294700</v>
          </cell>
        </row>
        <row r="32">
          <cell r="U32">
            <v>1110</v>
          </cell>
          <cell r="V32">
            <v>0</v>
          </cell>
        </row>
        <row r="34">
          <cell r="D34">
            <v>78</v>
          </cell>
          <cell r="U34">
            <v>3640</v>
          </cell>
          <cell r="V34">
            <v>283920</v>
          </cell>
        </row>
        <row r="35">
          <cell r="D35">
            <v>695</v>
          </cell>
          <cell r="U35">
            <v>2000</v>
          </cell>
          <cell r="V35">
            <v>1390000</v>
          </cell>
        </row>
        <row r="36">
          <cell r="U36">
            <v>2000</v>
          </cell>
          <cell r="V36">
            <v>0</v>
          </cell>
        </row>
        <row r="37">
          <cell r="D37">
            <v>694</v>
          </cell>
          <cell r="U37">
            <v>610</v>
          </cell>
          <cell r="V37">
            <v>423340</v>
          </cell>
        </row>
        <row r="39">
          <cell r="D39">
            <v>30</v>
          </cell>
          <cell r="U39">
            <v>1730</v>
          </cell>
          <cell r="V39">
            <v>51900</v>
          </cell>
        </row>
        <row r="40">
          <cell r="D40">
            <v>19</v>
          </cell>
          <cell r="U40">
            <v>1730</v>
          </cell>
          <cell r="V40">
            <v>32870</v>
          </cell>
        </row>
        <row r="41">
          <cell r="U41">
            <v>1000</v>
          </cell>
          <cell r="V41">
            <v>0</v>
          </cell>
        </row>
        <row r="43">
          <cell r="D43">
            <v>333</v>
          </cell>
          <cell r="U43">
            <v>760</v>
          </cell>
          <cell r="V43">
            <v>253080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471</v>
          </cell>
          <cell r="U48">
            <v>660</v>
          </cell>
          <cell r="V48">
            <v>310860</v>
          </cell>
        </row>
        <row r="49">
          <cell r="D49">
            <v>2055</v>
          </cell>
          <cell r="U49">
            <v>2000</v>
          </cell>
          <cell r="V49">
            <v>4110000</v>
          </cell>
        </row>
        <row r="50">
          <cell r="D50">
            <v>59</v>
          </cell>
          <cell r="U50">
            <v>15030</v>
          </cell>
          <cell r="V50">
            <v>886770</v>
          </cell>
        </row>
        <row r="51">
          <cell r="D51">
            <v>114</v>
          </cell>
          <cell r="U51">
            <v>34510</v>
          </cell>
          <cell r="V51">
            <v>3934140</v>
          </cell>
        </row>
        <row r="52">
          <cell r="D52">
            <v>15</v>
          </cell>
          <cell r="V52">
            <v>129150</v>
          </cell>
        </row>
        <row r="59">
          <cell r="D59">
            <v>4951</v>
          </cell>
          <cell r="U59">
            <v>33020</v>
          </cell>
          <cell r="V59">
            <v>163482020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191</v>
          </cell>
          <cell r="U62">
            <v>137290</v>
          </cell>
          <cell r="V62">
            <v>26222390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217</v>
          </cell>
          <cell r="U65">
            <v>66300</v>
          </cell>
          <cell r="V65">
            <v>14387100</v>
          </cell>
        </row>
        <row r="66">
          <cell r="D66">
            <v>129</v>
          </cell>
          <cell r="V66">
            <v>8552700</v>
          </cell>
        </row>
        <row r="67">
          <cell r="V67">
            <v>0</v>
          </cell>
        </row>
        <row r="68">
          <cell r="D68">
            <v>141</v>
          </cell>
          <cell r="U68">
            <v>59490</v>
          </cell>
          <cell r="V68">
            <v>8388090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48</v>
          </cell>
          <cell r="U79">
            <v>6410</v>
          </cell>
          <cell r="V79">
            <v>307680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25916940</v>
          </cell>
        </row>
        <row r="174">
          <cell r="V174">
            <v>29043080</v>
          </cell>
        </row>
        <row r="243">
          <cell r="V243">
            <v>3210840</v>
          </cell>
        </row>
        <row r="289">
          <cell r="V289">
            <v>0</v>
          </cell>
        </row>
        <row r="295">
          <cell r="V295">
            <v>6826560</v>
          </cell>
        </row>
        <row r="362">
          <cell r="V362">
            <v>10339180</v>
          </cell>
        </row>
        <row r="405">
          <cell r="V405">
            <v>89550</v>
          </cell>
        </row>
        <row r="428">
          <cell r="V428">
            <v>3089560</v>
          </cell>
        </row>
        <row r="446">
          <cell r="V446">
            <v>225500</v>
          </cell>
        </row>
        <row r="456">
          <cell r="V456">
            <v>98160</v>
          </cell>
        </row>
        <row r="500">
          <cell r="V500">
            <v>3826190</v>
          </cell>
        </row>
        <row r="535">
          <cell r="V535">
            <v>20421140</v>
          </cell>
        </row>
        <row r="590">
          <cell r="V590">
            <v>0</v>
          </cell>
        </row>
        <row r="615">
          <cell r="V615">
            <v>37851590</v>
          </cell>
        </row>
        <row r="633">
          <cell r="V633">
            <v>10942630</v>
          </cell>
        </row>
        <row r="634">
          <cell r="V634">
            <v>1018000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898</v>
          </cell>
          <cell r="V768">
            <v>6214520</v>
          </cell>
        </row>
        <row r="783">
          <cell r="V783">
            <v>0</v>
          </cell>
        </row>
        <row r="795">
          <cell r="D795">
            <v>211</v>
          </cell>
          <cell r="U795">
            <v>6900</v>
          </cell>
          <cell r="V795">
            <v>1455900</v>
          </cell>
        </row>
        <row r="796">
          <cell r="D796">
            <v>322</v>
          </cell>
          <cell r="U796">
            <v>2700</v>
          </cell>
          <cell r="V796">
            <v>869400</v>
          </cell>
        </row>
        <row r="797">
          <cell r="D797">
            <v>524</v>
          </cell>
          <cell r="U797">
            <v>2700</v>
          </cell>
          <cell r="V797">
            <v>1414800</v>
          </cell>
        </row>
        <row r="798">
          <cell r="U798">
            <v>10760</v>
          </cell>
          <cell r="V798">
            <v>0</v>
          </cell>
        </row>
        <row r="799">
          <cell r="D799">
            <v>25</v>
          </cell>
          <cell r="U799">
            <v>12600</v>
          </cell>
          <cell r="V799">
            <v>315000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9</v>
          </cell>
          <cell r="U805">
            <v>14260</v>
          </cell>
          <cell r="V805">
            <v>128340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08">
          <cell r="U808">
            <v>8685620</v>
          </cell>
          <cell r="V808">
            <v>0</v>
          </cell>
        </row>
        <row r="809">
          <cell r="U809">
            <v>222960</v>
          </cell>
          <cell r="V809">
            <v>0</v>
          </cell>
        </row>
        <row r="810">
          <cell r="U810">
            <v>1016710</v>
          </cell>
          <cell r="V810">
            <v>0</v>
          </cell>
        </row>
        <row r="811">
          <cell r="V811">
            <v>149420</v>
          </cell>
        </row>
        <row r="882">
          <cell r="V882">
            <v>66268325</v>
          </cell>
        </row>
        <row r="961">
          <cell r="V961">
            <v>2521365</v>
          </cell>
        </row>
        <row r="1036">
          <cell r="U1036">
            <v>9120</v>
          </cell>
          <cell r="V1036">
            <v>0</v>
          </cell>
        </row>
        <row r="1037">
          <cell r="V1037">
            <v>639845</v>
          </cell>
        </row>
        <row r="1098">
          <cell r="V1098">
            <v>2879320</v>
          </cell>
        </row>
        <row r="1166">
          <cell r="V1166">
            <v>2470410</v>
          </cell>
        </row>
        <row r="1197">
          <cell r="D1197">
            <v>549</v>
          </cell>
          <cell r="U1197">
            <v>4880</v>
          </cell>
          <cell r="V1197">
            <v>2679120</v>
          </cell>
        </row>
        <row r="1198">
          <cell r="D1198">
            <v>9</v>
          </cell>
          <cell r="U1198">
            <v>13770</v>
          </cell>
          <cell r="V1198">
            <v>123930</v>
          </cell>
        </row>
        <row r="1199">
          <cell r="D1199">
            <v>29</v>
          </cell>
          <cell r="U1199">
            <v>23350</v>
          </cell>
          <cell r="V1199">
            <v>677150</v>
          </cell>
        </row>
        <row r="1200">
          <cell r="U1200">
            <v>44580</v>
          </cell>
          <cell r="V1200">
            <v>0</v>
          </cell>
        </row>
        <row r="1201">
          <cell r="D1201">
            <v>113</v>
          </cell>
          <cell r="U1201">
            <v>49690</v>
          </cell>
          <cell r="V1201">
            <v>5614970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288870</v>
          </cell>
        </row>
        <row r="1287">
          <cell r="V1287">
            <v>315660</v>
          </cell>
        </row>
        <row r="1354">
          <cell r="D1354">
            <v>63</v>
          </cell>
          <cell r="U1354">
            <v>33720</v>
          </cell>
          <cell r="V1354">
            <v>2124360</v>
          </cell>
        </row>
        <row r="1355">
          <cell r="U1355">
            <v>40670</v>
          </cell>
          <cell r="V1355">
            <v>0</v>
          </cell>
        </row>
        <row r="1356">
          <cell r="D1356">
            <v>11</v>
          </cell>
          <cell r="U1356">
            <v>43320</v>
          </cell>
          <cell r="V1356">
            <v>476520</v>
          </cell>
        </row>
        <row r="1357">
          <cell r="V1357">
            <v>39109925</v>
          </cell>
        </row>
        <row r="1441">
          <cell r="V1441">
            <v>880440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8543320</v>
          </cell>
        </row>
        <row r="1574">
          <cell r="V1574">
            <v>11590610</v>
          </cell>
        </row>
        <row r="1592">
          <cell r="V1592">
            <v>1500990</v>
          </cell>
        </row>
        <row r="1597">
          <cell r="V1597">
            <v>6469560</v>
          </cell>
        </row>
        <row r="1631">
          <cell r="V1631">
            <v>8431410</v>
          </cell>
        </row>
        <row r="1632">
          <cell r="V1632">
            <v>0</v>
          </cell>
        </row>
        <row r="1633">
          <cell r="D1633">
            <v>22</v>
          </cell>
          <cell r="F1633">
            <v>2</v>
          </cell>
          <cell r="V1633">
            <v>2241810</v>
          </cell>
        </row>
        <row r="1634">
          <cell r="D1634">
            <v>48</v>
          </cell>
          <cell r="V1634">
            <v>6189600</v>
          </cell>
        </row>
        <row r="1635">
          <cell r="V1635">
            <v>0</v>
          </cell>
        </row>
        <row r="1636">
          <cell r="D1636">
            <v>108</v>
          </cell>
          <cell r="U1636">
            <v>128940</v>
          </cell>
          <cell r="V1636">
            <v>13925520</v>
          </cell>
        </row>
        <row r="1637">
          <cell r="D1637">
            <v>2</v>
          </cell>
          <cell r="U1637">
            <v>135670</v>
          </cell>
          <cell r="V1637">
            <v>271340</v>
          </cell>
        </row>
        <row r="1639">
          <cell r="V1639">
            <v>6802140</v>
          </cell>
        </row>
        <row r="1845">
          <cell r="D1845">
            <v>13</v>
          </cell>
          <cell r="F1845">
            <v>0</v>
          </cell>
          <cell r="G1845">
            <v>0</v>
          </cell>
          <cell r="V1845">
            <v>808590</v>
          </cell>
        </row>
        <row r="1849">
          <cell r="D1849">
            <v>32</v>
          </cell>
          <cell r="V1849">
            <v>2148560</v>
          </cell>
        </row>
        <row r="1861">
          <cell r="D1861">
            <v>49</v>
          </cell>
          <cell r="U1861">
            <v>27970</v>
          </cell>
          <cell r="V1861">
            <v>1370530</v>
          </cell>
        </row>
        <row r="1863">
          <cell r="D1863">
            <v>219</v>
          </cell>
          <cell r="U1863">
            <v>18430</v>
          </cell>
          <cell r="V1863">
            <v>4036170</v>
          </cell>
        </row>
        <row r="1864">
          <cell r="D1864">
            <v>190</v>
          </cell>
          <cell r="U1864">
            <v>57970</v>
          </cell>
          <cell r="V1864">
            <v>11014300</v>
          </cell>
        </row>
        <row r="1865">
          <cell r="U1865">
            <v>71860</v>
          </cell>
          <cell r="V1865">
            <v>0</v>
          </cell>
        </row>
        <row r="1866">
          <cell r="D1866">
            <v>154</v>
          </cell>
          <cell r="U1866">
            <v>2520</v>
          </cell>
          <cell r="V1866">
            <v>388080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3045450</v>
          </cell>
        </row>
        <row r="1889">
          <cell r="V1889">
            <v>6298650</v>
          </cell>
        </row>
        <row r="1914">
          <cell r="V1914">
            <v>3298410</v>
          </cell>
        </row>
        <row r="1941">
          <cell r="D1941">
            <v>238</v>
          </cell>
          <cell r="U1941">
            <v>19310</v>
          </cell>
          <cell r="V1941">
            <v>4595780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100</v>
          </cell>
          <cell r="U1981">
            <v>35020</v>
          </cell>
          <cell r="V1981">
            <v>3502000</v>
          </cell>
        </row>
        <row r="1983">
          <cell r="D1983">
            <v>1</v>
          </cell>
          <cell r="U1983">
            <v>6890</v>
          </cell>
          <cell r="V1983">
            <v>6890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U1987">
            <v>778770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8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2015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54512</v>
          </cell>
        </row>
        <row r="13">
          <cell r="D13">
            <v>22681</v>
          </cell>
        </row>
        <row r="14">
          <cell r="D14">
            <v>22735</v>
          </cell>
        </row>
        <row r="15">
          <cell r="D15">
            <v>801</v>
          </cell>
        </row>
        <row r="16">
          <cell r="D16">
            <v>0</v>
          </cell>
        </row>
        <row r="17">
          <cell r="D17">
            <v>1483</v>
          </cell>
        </row>
        <row r="18">
          <cell r="D18">
            <v>4016</v>
          </cell>
        </row>
        <row r="19">
          <cell r="D19">
            <v>3392</v>
          </cell>
        </row>
        <row r="20">
          <cell r="D20">
            <v>29</v>
          </cell>
        </row>
        <row r="21">
          <cell r="D21">
            <v>595</v>
          </cell>
        </row>
        <row r="22">
          <cell r="D22">
            <v>9</v>
          </cell>
        </row>
        <row r="23">
          <cell r="D23">
            <v>71</v>
          </cell>
        </row>
        <row r="24">
          <cell r="D24">
            <v>2716</v>
          </cell>
        </row>
        <row r="25">
          <cell r="D25">
            <v>3962</v>
          </cell>
        </row>
        <row r="26">
          <cell r="D26">
            <v>2373</v>
          </cell>
        </row>
        <row r="27">
          <cell r="D27">
            <v>0</v>
          </cell>
        </row>
        <row r="28">
          <cell r="D28">
            <v>724</v>
          </cell>
        </row>
        <row r="30">
          <cell r="D30">
            <v>516</v>
          </cell>
        </row>
        <row r="31">
          <cell r="D31">
            <v>203</v>
          </cell>
        </row>
        <row r="32">
          <cell r="D32">
            <v>146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105</v>
          </cell>
          <cell r="G69">
            <v>2</v>
          </cell>
          <cell r="H69">
            <v>0</v>
          </cell>
        </row>
        <row r="70">
          <cell r="F70">
            <v>20</v>
          </cell>
          <cell r="G70">
            <v>1</v>
          </cell>
          <cell r="H70">
            <v>0</v>
          </cell>
        </row>
        <row r="71">
          <cell r="F71">
            <v>2</v>
          </cell>
          <cell r="G71">
            <v>0</v>
          </cell>
          <cell r="H71">
            <v>0</v>
          </cell>
        </row>
        <row r="72">
          <cell r="F72">
            <v>48</v>
          </cell>
          <cell r="G72">
            <v>1</v>
          </cell>
          <cell r="H72">
            <v>0</v>
          </cell>
        </row>
        <row r="73">
          <cell r="F73">
            <v>100</v>
          </cell>
          <cell r="G73">
            <v>2</v>
          </cell>
          <cell r="H73">
            <v>0</v>
          </cell>
        </row>
        <row r="74">
          <cell r="F74">
            <v>1</v>
          </cell>
          <cell r="G74">
            <v>1</v>
          </cell>
          <cell r="H74">
            <v>0</v>
          </cell>
        </row>
        <row r="75">
          <cell r="F75">
            <v>0</v>
          </cell>
          <cell r="G75">
            <v>2</v>
          </cell>
          <cell r="H75">
            <v>0</v>
          </cell>
        </row>
        <row r="76">
          <cell r="F76">
            <v>136</v>
          </cell>
          <cell r="G76">
            <v>16</v>
          </cell>
          <cell r="H76">
            <v>0</v>
          </cell>
        </row>
        <row r="77">
          <cell r="F77">
            <v>3</v>
          </cell>
          <cell r="G77">
            <v>0</v>
          </cell>
          <cell r="H77">
            <v>0</v>
          </cell>
        </row>
        <row r="78">
          <cell r="F78">
            <v>14</v>
          </cell>
          <cell r="G78">
            <v>4</v>
          </cell>
          <cell r="H78">
            <v>0</v>
          </cell>
        </row>
        <row r="79">
          <cell r="F79">
            <v>1</v>
          </cell>
          <cell r="G79">
            <v>0</v>
          </cell>
          <cell r="H79">
            <v>0</v>
          </cell>
        </row>
        <row r="80">
          <cell r="F80">
            <v>22</v>
          </cell>
          <cell r="G80">
            <v>2</v>
          </cell>
          <cell r="H80">
            <v>0</v>
          </cell>
        </row>
        <row r="81">
          <cell r="F81">
            <v>76</v>
          </cell>
          <cell r="G81">
            <v>0</v>
          </cell>
          <cell r="H81">
            <v>0</v>
          </cell>
        </row>
        <row r="82">
          <cell r="F82">
            <v>36</v>
          </cell>
          <cell r="G82">
            <v>2</v>
          </cell>
          <cell r="H82">
            <v>0</v>
          </cell>
        </row>
        <row r="130">
          <cell r="E130">
            <v>1609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5635</v>
          </cell>
          <cell r="U15">
            <v>11250</v>
          </cell>
          <cell r="V15">
            <v>63393750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60</v>
          </cell>
          <cell r="U19">
            <v>14110</v>
          </cell>
          <cell r="V19">
            <v>846600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1505</v>
          </cell>
          <cell r="U23">
            <v>5690</v>
          </cell>
          <cell r="V23">
            <v>8563450</v>
          </cell>
        </row>
        <row r="24">
          <cell r="D24">
            <v>939</v>
          </cell>
          <cell r="U24">
            <v>6820</v>
          </cell>
          <cell r="V24">
            <v>6403980</v>
          </cell>
        </row>
        <row r="25">
          <cell r="D25">
            <v>2029</v>
          </cell>
          <cell r="U25">
            <v>8460</v>
          </cell>
          <cell r="V25">
            <v>17165340</v>
          </cell>
        </row>
        <row r="27">
          <cell r="D27">
            <v>1518</v>
          </cell>
          <cell r="U27">
            <v>1110</v>
          </cell>
          <cell r="V27">
            <v>1684980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65</v>
          </cell>
          <cell r="U30">
            <v>1500</v>
          </cell>
          <cell r="V30">
            <v>97500</v>
          </cell>
        </row>
        <row r="31">
          <cell r="D31">
            <v>1149</v>
          </cell>
          <cell r="U31">
            <v>1210</v>
          </cell>
          <cell r="V31">
            <v>1390290</v>
          </cell>
        </row>
        <row r="32">
          <cell r="U32">
            <v>1110</v>
          </cell>
          <cell r="V32">
            <v>0</v>
          </cell>
        </row>
        <row r="34">
          <cell r="D34">
            <v>77</v>
          </cell>
          <cell r="U34">
            <v>3640</v>
          </cell>
          <cell r="V34">
            <v>280280</v>
          </cell>
        </row>
        <row r="35">
          <cell r="D35">
            <v>713</v>
          </cell>
          <cell r="U35">
            <v>2000</v>
          </cell>
          <cell r="V35">
            <v>1426000</v>
          </cell>
        </row>
        <row r="36">
          <cell r="U36">
            <v>2000</v>
          </cell>
          <cell r="V36">
            <v>0</v>
          </cell>
        </row>
        <row r="37">
          <cell r="D37">
            <v>573</v>
          </cell>
          <cell r="U37">
            <v>610</v>
          </cell>
          <cell r="V37">
            <v>349530</v>
          </cell>
        </row>
        <row r="39">
          <cell r="D39">
            <v>16</v>
          </cell>
          <cell r="U39">
            <v>1730</v>
          </cell>
          <cell r="V39">
            <v>27680</v>
          </cell>
        </row>
        <row r="40">
          <cell r="D40">
            <v>25</v>
          </cell>
          <cell r="U40">
            <v>1730</v>
          </cell>
          <cell r="V40">
            <v>43250</v>
          </cell>
        </row>
        <row r="41">
          <cell r="U41">
            <v>1000</v>
          </cell>
          <cell r="V41">
            <v>0</v>
          </cell>
        </row>
        <row r="43">
          <cell r="D43">
            <v>289</v>
          </cell>
          <cell r="U43">
            <v>760</v>
          </cell>
          <cell r="V43">
            <v>219640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394</v>
          </cell>
          <cell r="U48">
            <v>660</v>
          </cell>
          <cell r="V48">
            <v>260040</v>
          </cell>
        </row>
        <row r="49">
          <cell r="D49">
            <v>4497</v>
          </cell>
          <cell r="U49">
            <v>2000</v>
          </cell>
          <cell r="V49">
            <v>8994000</v>
          </cell>
        </row>
        <row r="50">
          <cell r="D50">
            <v>59</v>
          </cell>
          <cell r="U50">
            <v>15030</v>
          </cell>
          <cell r="V50">
            <v>886770</v>
          </cell>
        </row>
        <row r="51">
          <cell r="D51">
            <v>105</v>
          </cell>
          <cell r="U51">
            <v>34510</v>
          </cell>
          <cell r="V51">
            <v>3623550</v>
          </cell>
        </row>
        <row r="52">
          <cell r="D52">
            <v>45</v>
          </cell>
          <cell r="V52">
            <v>387450</v>
          </cell>
        </row>
        <row r="59">
          <cell r="D59">
            <v>5062</v>
          </cell>
          <cell r="U59">
            <v>33020</v>
          </cell>
          <cell r="V59">
            <v>167147240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146</v>
          </cell>
          <cell r="U62">
            <v>137290</v>
          </cell>
          <cell r="V62">
            <v>20044340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156</v>
          </cell>
          <cell r="U65">
            <v>66300</v>
          </cell>
          <cell r="V65">
            <v>10342800</v>
          </cell>
        </row>
        <row r="66">
          <cell r="D66">
            <v>92</v>
          </cell>
          <cell r="V66">
            <v>6099600</v>
          </cell>
        </row>
        <row r="67">
          <cell r="V67">
            <v>0</v>
          </cell>
        </row>
        <row r="68">
          <cell r="D68">
            <v>137</v>
          </cell>
          <cell r="U68">
            <v>59490</v>
          </cell>
          <cell r="V68">
            <v>8150130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49</v>
          </cell>
          <cell r="U79">
            <v>6410</v>
          </cell>
          <cell r="V79">
            <v>314090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23620100</v>
          </cell>
        </row>
        <row r="174">
          <cell r="V174">
            <v>26878300</v>
          </cell>
        </row>
        <row r="243">
          <cell r="V243">
            <v>2778750</v>
          </cell>
        </row>
        <row r="289">
          <cell r="V289">
            <v>0</v>
          </cell>
        </row>
        <row r="295">
          <cell r="V295">
            <v>6990130</v>
          </cell>
        </row>
        <row r="362">
          <cell r="V362">
            <v>8126080</v>
          </cell>
        </row>
        <row r="405">
          <cell r="V405">
            <v>81900</v>
          </cell>
        </row>
        <row r="428">
          <cell r="V428">
            <v>2449360</v>
          </cell>
        </row>
        <row r="446">
          <cell r="V446">
            <v>92250</v>
          </cell>
        </row>
        <row r="456">
          <cell r="V456">
            <v>131450</v>
          </cell>
        </row>
        <row r="500">
          <cell r="V500">
            <v>3399580</v>
          </cell>
        </row>
        <row r="535">
          <cell r="V535">
            <v>18181630</v>
          </cell>
        </row>
        <row r="590">
          <cell r="V590">
            <v>0</v>
          </cell>
        </row>
        <row r="615">
          <cell r="V615">
            <v>36897230</v>
          </cell>
        </row>
        <row r="633">
          <cell r="V633">
            <v>10138990</v>
          </cell>
        </row>
        <row r="634">
          <cell r="V634">
            <v>1033270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1052</v>
          </cell>
          <cell r="V768">
            <v>7609820</v>
          </cell>
        </row>
        <row r="783">
          <cell r="V783">
            <v>0</v>
          </cell>
        </row>
        <row r="795">
          <cell r="D795">
            <v>179</v>
          </cell>
          <cell r="U795">
            <v>6900</v>
          </cell>
          <cell r="V795">
            <v>1235100</v>
          </cell>
        </row>
        <row r="796">
          <cell r="D796">
            <v>185</v>
          </cell>
          <cell r="U796">
            <v>2700</v>
          </cell>
          <cell r="V796">
            <v>499500</v>
          </cell>
        </row>
        <row r="797">
          <cell r="D797">
            <v>191</v>
          </cell>
          <cell r="U797">
            <v>2700</v>
          </cell>
          <cell r="V797">
            <v>515700</v>
          </cell>
        </row>
        <row r="798">
          <cell r="D798">
            <v>3</v>
          </cell>
          <cell r="U798">
            <v>10760</v>
          </cell>
          <cell r="V798">
            <v>32280</v>
          </cell>
        </row>
        <row r="799">
          <cell r="D799">
            <v>27</v>
          </cell>
          <cell r="U799">
            <v>12600</v>
          </cell>
          <cell r="V799">
            <v>340200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7</v>
          </cell>
          <cell r="U805">
            <v>14260</v>
          </cell>
          <cell r="V805">
            <v>99820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08">
          <cell r="U808">
            <v>8685620</v>
          </cell>
          <cell r="V808">
            <v>0</v>
          </cell>
        </row>
        <row r="809">
          <cell r="U809">
            <v>222960</v>
          </cell>
          <cell r="V809">
            <v>0</v>
          </cell>
        </row>
        <row r="810">
          <cell r="U810">
            <v>1016710</v>
          </cell>
          <cell r="V810">
            <v>0</v>
          </cell>
        </row>
        <row r="811">
          <cell r="V811">
            <v>0</v>
          </cell>
        </row>
        <row r="882">
          <cell r="V882">
            <v>22251205</v>
          </cell>
        </row>
        <row r="961">
          <cell r="V961">
            <v>2324060</v>
          </cell>
        </row>
        <row r="1036">
          <cell r="D1036">
            <v>2</v>
          </cell>
          <cell r="U1036">
            <v>9120</v>
          </cell>
          <cell r="V1036">
            <v>18240</v>
          </cell>
        </row>
        <row r="1037">
          <cell r="V1037">
            <v>293860</v>
          </cell>
        </row>
        <row r="1098">
          <cell r="V1098">
            <v>2236530</v>
          </cell>
        </row>
        <row r="1166">
          <cell r="V1166">
            <v>2074655</v>
          </cell>
        </row>
        <row r="1197">
          <cell r="D1197">
            <v>515</v>
          </cell>
          <cell r="U1197">
            <v>4880</v>
          </cell>
          <cell r="V1197">
            <v>2513200</v>
          </cell>
        </row>
        <row r="1198">
          <cell r="D1198">
            <v>2</v>
          </cell>
          <cell r="U1198">
            <v>13770</v>
          </cell>
          <cell r="V1198">
            <v>27540</v>
          </cell>
        </row>
        <row r="1199">
          <cell r="D1199">
            <v>7</v>
          </cell>
          <cell r="U1199">
            <v>23350</v>
          </cell>
          <cell r="V1199">
            <v>163450</v>
          </cell>
        </row>
        <row r="1200">
          <cell r="U1200">
            <v>44580</v>
          </cell>
          <cell r="V1200">
            <v>0</v>
          </cell>
        </row>
        <row r="1201">
          <cell r="D1201">
            <v>139</v>
          </cell>
          <cell r="U1201">
            <v>49690</v>
          </cell>
          <cell r="V1201">
            <v>6906910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484265</v>
          </cell>
        </row>
        <row r="1287">
          <cell r="V1287">
            <v>52610</v>
          </cell>
        </row>
        <row r="1354">
          <cell r="D1354">
            <v>66</v>
          </cell>
          <cell r="U1354">
            <v>33720</v>
          </cell>
          <cell r="V1354">
            <v>2225520</v>
          </cell>
        </row>
        <row r="1355">
          <cell r="U1355">
            <v>40670</v>
          </cell>
          <cell r="V1355">
            <v>0</v>
          </cell>
        </row>
        <row r="1356">
          <cell r="D1356">
            <v>12</v>
          </cell>
          <cell r="U1356">
            <v>43320</v>
          </cell>
          <cell r="V1356">
            <v>519840</v>
          </cell>
        </row>
        <row r="1357">
          <cell r="V1357">
            <v>32030275</v>
          </cell>
        </row>
        <row r="1441">
          <cell r="V1441">
            <v>63990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3392925</v>
          </cell>
        </row>
        <row r="1574">
          <cell r="V1574">
            <v>13039320</v>
          </cell>
        </row>
        <row r="1592">
          <cell r="V1592">
            <v>178230</v>
          </cell>
        </row>
        <row r="1597">
          <cell r="V1597">
            <v>4226285</v>
          </cell>
        </row>
        <row r="1631">
          <cell r="V1631">
            <v>9044680</v>
          </cell>
        </row>
        <row r="1632">
          <cell r="V1632">
            <v>0</v>
          </cell>
        </row>
        <row r="1633">
          <cell r="D1633">
            <v>24</v>
          </cell>
          <cell r="V1633">
            <v>2339280</v>
          </cell>
        </row>
        <row r="1634">
          <cell r="D1634">
            <v>52</v>
          </cell>
          <cell r="V1634">
            <v>6705400</v>
          </cell>
        </row>
        <row r="1635">
          <cell r="V1635">
            <v>0</v>
          </cell>
        </row>
        <row r="1636">
          <cell r="D1636">
            <v>84</v>
          </cell>
          <cell r="U1636">
            <v>128940</v>
          </cell>
          <cell r="V1636">
            <v>10830960</v>
          </cell>
        </row>
        <row r="1637">
          <cell r="D1637">
            <v>4</v>
          </cell>
          <cell r="U1637">
            <v>135670</v>
          </cell>
          <cell r="V1637">
            <v>542680</v>
          </cell>
        </row>
        <row r="1639">
          <cell r="V1639">
            <v>7438230</v>
          </cell>
        </row>
        <row r="1845">
          <cell r="D1845">
            <v>4</v>
          </cell>
          <cell r="F1845">
            <v>0</v>
          </cell>
          <cell r="G1845">
            <v>0</v>
          </cell>
          <cell r="V1845">
            <v>215720</v>
          </cell>
        </row>
        <row r="1849">
          <cell r="D1849">
            <v>37</v>
          </cell>
          <cell r="V1849">
            <v>2476420</v>
          </cell>
        </row>
        <row r="1861">
          <cell r="D1861">
            <v>42</v>
          </cell>
          <cell r="U1861">
            <v>27970</v>
          </cell>
          <cell r="V1861">
            <v>1174740</v>
          </cell>
        </row>
        <row r="1863">
          <cell r="D1863">
            <v>179</v>
          </cell>
          <cell r="U1863">
            <v>18430</v>
          </cell>
          <cell r="V1863">
            <v>3298970</v>
          </cell>
        </row>
        <row r="1864">
          <cell r="D1864">
            <v>177</v>
          </cell>
          <cell r="U1864">
            <v>57970</v>
          </cell>
          <cell r="V1864">
            <v>10260690</v>
          </cell>
        </row>
        <row r="1865">
          <cell r="U1865">
            <v>71860</v>
          </cell>
          <cell r="V1865">
            <v>0</v>
          </cell>
        </row>
        <row r="1866">
          <cell r="D1866">
            <v>142</v>
          </cell>
          <cell r="U1866">
            <v>2520</v>
          </cell>
          <cell r="V1866">
            <v>357840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3316380</v>
          </cell>
        </row>
        <row r="1889">
          <cell r="V1889">
            <v>5359060</v>
          </cell>
        </row>
        <row r="1914">
          <cell r="V1914">
            <v>2734990</v>
          </cell>
        </row>
        <row r="1941">
          <cell r="D1941">
            <v>356</v>
          </cell>
          <cell r="U1941">
            <v>19310</v>
          </cell>
          <cell r="V1941">
            <v>6874360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86</v>
          </cell>
          <cell r="U1981">
            <v>35020</v>
          </cell>
          <cell r="V1981">
            <v>3011720</v>
          </cell>
        </row>
        <row r="1983">
          <cell r="D1983">
            <v>2</v>
          </cell>
          <cell r="U1983">
            <v>6890</v>
          </cell>
          <cell r="V1983">
            <v>13780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U1987">
            <v>778770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2015</v>
          </cell>
        </row>
        <row r="11">
          <cell r="B11" t="str">
            <v>DR. FRANCISCO MARTINEZ CAVALLA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66527</v>
          </cell>
        </row>
        <row r="13">
          <cell r="D13">
            <v>27427</v>
          </cell>
        </row>
        <row r="14">
          <cell r="D14">
            <v>27503</v>
          </cell>
        </row>
        <row r="15">
          <cell r="D15">
            <v>1035</v>
          </cell>
        </row>
        <row r="16">
          <cell r="D16">
            <v>0</v>
          </cell>
        </row>
        <row r="17">
          <cell r="D17">
            <v>1708</v>
          </cell>
        </row>
        <row r="18">
          <cell r="D18">
            <v>5593</v>
          </cell>
        </row>
        <row r="19">
          <cell r="D19">
            <v>4799</v>
          </cell>
        </row>
        <row r="20">
          <cell r="D20">
            <v>41</v>
          </cell>
        </row>
        <row r="21">
          <cell r="D21">
            <v>753</v>
          </cell>
        </row>
        <row r="22">
          <cell r="D22">
            <v>22</v>
          </cell>
        </row>
        <row r="23">
          <cell r="D23">
            <v>71</v>
          </cell>
        </row>
        <row r="24">
          <cell r="D24">
            <v>3168</v>
          </cell>
        </row>
        <row r="25">
          <cell r="D25">
            <v>4891</v>
          </cell>
        </row>
        <row r="26">
          <cell r="D26">
            <v>2894</v>
          </cell>
        </row>
        <row r="27">
          <cell r="D27">
            <v>8</v>
          </cell>
        </row>
        <row r="28">
          <cell r="D28">
            <v>848</v>
          </cell>
        </row>
        <row r="30">
          <cell r="D30">
            <v>676</v>
          </cell>
        </row>
        <row r="31">
          <cell r="D31">
            <v>236</v>
          </cell>
        </row>
        <row r="32">
          <cell r="D32">
            <v>229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255</v>
          </cell>
          <cell r="G69">
            <v>1</v>
          </cell>
          <cell r="H69">
            <v>0</v>
          </cell>
        </row>
        <row r="70">
          <cell r="F70">
            <v>29</v>
          </cell>
          <cell r="G70">
            <v>3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60</v>
          </cell>
          <cell r="G72">
            <v>1</v>
          </cell>
          <cell r="H72">
            <v>0</v>
          </cell>
        </row>
        <row r="73">
          <cell r="F73">
            <v>106</v>
          </cell>
          <cell r="G73">
            <v>2</v>
          </cell>
          <cell r="H73">
            <v>0</v>
          </cell>
        </row>
        <row r="74">
          <cell r="F74">
            <v>10</v>
          </cell>
          <cell r="G74">
            <v>1</v>
          </cell>
          <cell r="H74">
            <v>0</v>
          </cell>
        </row>
        <row r="75">
          <cell r="F75">
            <v>2</v>
          </cell>
          <cell r="G75">
            <v>1</v>
          </cell>
          <cell r="H75">
            <v>0</v>
          </cell>
        </row>
        <row r="76">
          <cell r="F76">
            <v>170</v>
          </cell>
          <cell r="G76">
            <v>10</v>
          </cell>
          <cell r="H76">
            <v>0</v>
          </cell>
        </row>
        <row r="77">
          <cell r="F77">
            <v>6</v>
          </cell>
          <cell r="G77">
            <v>1</v>
          </cell>
          <cell r="H77">
            <v>0</v>
          </cell>
        </row>
        <row r="78">
          <cell r="F78">
            <v>39</v>
          </cell>
          <cell r="G78">
            <v>3</v>
          </cell>
          <cell r="H78">
            <v>0</v>
          </cell>
        </row>
        <row r="79">
          <cell r="F79">
            <v>9</v>
          </cell>
          <cell r="G79">
            <v>0</v>
          </cell>
          <cell r="H79">
            <v>0</v>
          </cell>
        </row>
        <row r="80">
          <cell r="F80">
            <v>40</v>
          </cell>
          <cell r="G80">
            <v>3</v>
          </cell>
          <cell r="H80">
            <v>0</v>
          </cell>
        </row>
        <row r="81">
          <cell r="F81">
            <v>68</v>
          </cell>
          <cell r="G81">
            <v>1</v>
          </cell>
          <cell r="H81">
            <v>0</v>
          </cell>
        </row>
        <row r="82">
          <cell r="F82">
            <v>42</v>
          </cell>
          <cell r="G82">
            <v>2</v>
          </cell>
          <cell r="H82">
            <v>0</v>
          </cell>
        </row>
        <row r="130">
          <cell r="E130">
            <v>1752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6756</v>
          </cell>
          <cell r="U15">
            <v>11590</v>
          </cell>
          <cell r="V15">
            <v>78302040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59</v>
          </cell>
          <cell r="U19">
            <v>14530</v>
          </cell>
          <cell r="V19">
            <v>857270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2092</v>
          </cell>
          <cell r="U23">
            <v>5860</v>
          </cell>
          <cell r="V23">
            <v>12259120</v>
          </cell>
        </row>
        <row r="24">
          <cell r="D24">
            <v>1395</v>
          </cell>
          <cell r="U24">
            <v>7020</v>
          </cell>
          <cell r="V24">
            <v>9792900</v>
          </cell>
        </row>
        <row r="25">
          <cell r="D25">
            <v>2373</v>
          </cell>
          <cell r="U25">
            <v>8710</v>
          </cell>
          <cell r="V25">
            <v>20668830</v>
          </cell>
        </row>
        <row r="27">
          <cell r="D27">
            <v>2502</v>
          </cell>
          <cell r="U27">
            <v>1140</v>
          </cell>
          <cell r="V27">
            <v>2852280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132</v>
          </cell>
          <cell r="U30">
            <v>1550</v>
          </cell>
          <cell r="V30">
            <v>204600</v>
          </cell>
        </row>
        <row r="31">
          <cell r="D31">
            <v>1158</v>
          </cell>
          <cell r="U31">
            <v>1250</v>
          </cell>
          <cell r="V31">
            <v>1447500</v>
          </cell>
        </row>
        <row r="32">
          <cell r="U32">
            <v>1140</v>
          </cell>
          <cell r="V32">
            <v>0</v>
          </cell>
        </row>
        <row r="34">
          <cell r="D34">
            <v>98</v>
          </cell>
          <cell r="U34">
            <v>3750</v>
          </cell>
          <cell r="V34">
            <v>367500</v>
          </cell>
        </row>
        <row r="35">
          <cell r="D35">
            <v>242</v>
          </cell>
          <cell r="U35">
            <v>2060</v>
          </cell>
          <cell r="V35">
            <v>498520</v>
          </cell>
        </row>
        <row r="36">
          <cell r="U36">
            <v>2060</v>
          </cell>
          <cell r="V36">
            <v>0</v>
          </cell>
        </row>
        <row r="37">
          <cell r="D37">
            <v>480</v>
          </cell>
          <cell r="U37">
            <v>630</v>
          </cell>
          <cell r="V37">
            <v>302400</v>
          </cell>
        </row>
        <row r="39">
          <cell r="D39">
            <v>17</v>
          </cell>
          <cell r="U39">
            <v>1780</v>
          </cell>
          <cell r="V39">
            <v>30260</v>
          </cell>
        </row>
        <row r="40">
          <cell r="D40">
            <v>21</v>
          </cell>
          <cell r="U40">
            <v>1780</v>
          </cell>
          <cell r="V40">
            <v>37380</v>
          </cell>
        </row>
        <row r="41">
          <cell r="U41">
            <v>1030</v>
          </cell>
          <cell r="V41">
            <v>0</v>
          </cell>
        </row>
        <row r="43">
          <cell r="D43">
            <v>294</v>
          </cell>
          <cell r="U43">
            <v>780</v>
          </cell>
          <cell r="V43">
            <v>229320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364</v>
          </cell>
          <cell r="U48">
            <v>680</v>
          </cell>
          <cell r="V48">
            <v>247520</v>
          </cell>
        </row>
        <row r="49">
          <cell r="D49">
            <v>4558</v>
          </cell>
          <cell r="U49">
            <v>2060</v>
          </cell>
          <cell r="V49">
            <v>9389480</v>
          </cell>
        </row>
        <row r="50">
          <cell r="D50">
            <v>59</v>
          </cell>
          <cell r="U50">
            <v>15480</v>
          </cell>
          <cell r="V50">
            <v>913320</v>
          </cell>
        </row>
        <row r="51">
          <cell r="D51">
            <v>103</v>
          </cell>
          <cell r="U51">
            <v>35550</v>
          </cell>
          <cell r="V51">
            <v>3661650</v>
          </cell>
        </row>
        <row r="52">
          <cell r="D52">
            <v>26</v>
          </cell>
          <cell r="V52">
            <v>230620</v>
          </cell>
        </row>
        <row r="59">
          <cell r="D59">
            <v>6102</v>
          </cell>
          <cell r="U59">
            <v>34010</v>
          </cell>
          <cell r="V59">
            <v>207529020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228</v>
          </cell>
          <cell r="U62">
            <v>141410</v>
          </cell>
          <cell r="V62">
            <v>32241480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147</v>
          </cell>
          <cell r="U65">
            <v>68290</v>
          </cell>
          <cell r="V65">
            <v>10038630</v>
          </cell>
        </row>
        <row r="66">
          <cell r="D66">
            <v>117</v>
          </cell>
          <cell r="V66">
            <v>7989930</v>
          </cell>
        </row>
        <row r="67">
          <cell r="V67">
            <v>0</v>
          </cell>
        </row>
        <row r="68">
          <cell r="D68">
            <v>183</v>
          </cell>
          <cell r="U68">
            <v>61270</v>
          </cell>
          <cell r="V68">
            <v>11212410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U75">
            <v>5040</v>
          </cell>
          <cell r="V75">
            <v>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37</v>
          </cell>
          <cell r="U79">
            <v>6600</v>
          </cell>
          <cell r="V79">
            <v>244200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29236800</v>
          </cell>
        </row>
        <row r="174">
          <cell r="V174">
            <v>33511430</v>
          </cell>
        </row>
        <row r="243">
          <cell r="V243">
            <v>3693150</v>
          </cell>
        </row>
        <row r="289">
          <cell r="V289">
            <v>0</v>
          </cell>
        </row>
        <row r="295">
          <cell r="V295">
            <v>8300800</v>
          </cell>
        </row>
        <row r="362">
          <cell r="V362">
            <v>11285540</v>
          </cell>
        </row>
        <row r="405">
          <cell r="V405">
            <v>113860</v>
          </cell>
        </row>
        <row r="428">
          <cell r="V428">
            <v>3166950</v>
          </cell>
        </row>
        <row r="446">
          <cell r="V446">
            <v>232320</v>
          </cell>
        </row>
        <row r="456">
          <cell r="V456">
            <v>146180</v>
          </cell>
        </row>
        <row r="500">
          <cell r="V500">
            <v>4080370</v>
          </cell>
        </row>
        <row r="535">
          <cell r="V535">
            <v>23818160</v>
          </cell>
        </row>
        <row r="590">
          <cell r="V590">
            <v>155520</v>
          </cell>
        </row>
        <row r="615">
          <cell r="V615">
            <v>44762240</v>
          </cell>
        </row>
        <row r="633">
          <cell r="V633">
            <v>14534910</v>
          </cell>
        </row>
        <row r="634">
          <cell r="V634">
            <v>1236640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1044</v>
          </cell>
          <cell r="V768">
            <v>7478820</v>
          </cell>
        </row>
        <row r="783">
          <cell r="V783">
            <v>0</v>
          </cell>
        </row>
        <row r="795">
          <cell r="D795">
            <v>152</v>
          </cell>
          <cell r="U795">
            <v>7110</v>
          </cell>
          <cell r="V795">
            <v>1080720</v>
          </cell>
        </row>
        <row r="796">
          <cell r="D796">
            <v>390</v>
          </cell>
          <cell r="U796">
            <v>2780</v>
          </cell>
          <cell r="V796">
            <v>1084200</v>
          </cell>
        </row>
        <row r="797">
          <cell r="D797">
            <v>501</v>
          </cell>
          <cell r="U797">
            <v>2780</v>
          </cell>
          <cell r="V797">
            <v>1392780</v>
          </cell>
        </row>
        <row r="798">
          <cell r="D798">
            <v>4</v>
          </cell>
          <cell r="U798">
            <v>11080</v>
          </cell>
          <cell r="V798">
            <v>44320</v>
          </cell>
        </row>
        <row r="799">
          <cell r="D799">
            <v>51</v>
          </cell>
          <cell r="U799">
            <v>12980</v>
          </cell>
          <cell r="V799">
            <v>661980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8</v>
          </cell>
          <cell r="U805">
            <v>14690</v>
          </cell>
          <cell r="V805">
            <v>117520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102845390</v>
          </cell>
        </row>
        <row r="961">
          <cell r="V961">
            <v>3378595</v>
          </cell>
        </row>
        <row r="1036">
          <cell r="U1036">
            <v>9390</v>
          </cell>
          <cell r="V1036">
            <v>0</v>
          </cell>
        </row>
        <row r="1037">
          <cell r="V1037">
            <v>967220</v>
          </cell>
        </row>
        <row r="1098">
          <cell r="V1098">
            <v>2716030</v>
          </cell>
        </row>
        <row r="1166">
          <cell r="V1166">
            <v>2320730</v>
          </cell>
        </row>
        <row r="1197">
          <cell r="D1197">
            <v>642</v>
          </cell>
          <cell r="U1197">
            <v>5030</v>
          </cell>
          <cell r="V1197">
            <v>3229260</v>
          </cell>
        </row>
        <row r="1198">
          <cell r="D1198">
            <v>18</v>
          </cell>
          <cell r="U1198">
            <v>14180</v>
          </cell>
          <cell r="V1198">
            <v>255240</v>
          </cell>
        </row>
        <row r="1199">
          <cell r="D1199">
            <v>48</v>
          </cell>
          <cell r="U1199">
            <v>24050</v>
          </cell>
          <cell r="V1199">
            <v>1154400</v>
          </cell>
        </row>
        <row r="1200">
          <cell r="U1200">
            <v>45920</v>
          </cell>
          <cell r="V1200">
            <v>0</v>
          </cell>
        </row>
        <row r="1201">
          <cell r="D1201">
            <v>174</v>
          </cell>
          <cell r="U1201">
            <v>51180</v>
          </cell>
          <cell r="V1201">
            <v>8905320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2018645</v>
          </cell>
        </row>
        <row r="1287">
          <cell r="V1287">
            <v>135475</v>
          </cell>
        </row>
        <row r="1354">
          <cell r="D1354">
            <v>55</v>
          </cell>
          <cell r="U1354">
            <v>34730</v>
          </cell>
          <cell r="V1354">
            <v>1910150</v>
          </cell>
        </row>
        <row r="1355">
          <cell r="U1355">
            <v>41890</v>
          </cell>
          <cell r="V1355">
            <v>0</v>
          </cell>
        </row>
        <row r="1356">
          <cell r="D1356">
            <v>10</v>
          </cell>
          <cell r="U1356">
            <v>44620</v>
          </cell>
          <cell r="V1356">
            <v>446200</v>
          </cell>
        </row>
        <row r="1357">
          <cell r="V1357">
            <v>41262425</v>
          </cell>
        </row>
        <row r="1441">
          <cell r="V1441">
            <v>309755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7708055</v>
          </cell>
        </row>
        <row r="1574">
          <cell r="V1574">
            <v>13834830</v>
          </cell>
        </row>
        <row r="1592">
          <cell r="V1592">
            <v>2541300</v>
          </cell>
        </row>
        <row r="1597">
          <cell r="V1597">
            <v>6779490</v>
          </cell>
        </row>
        <row r="1631">
          <cell r="V1631">
            <v>8273815</v>
          </cell>
        </row>
        <row r="1632">
          <cell r="D1632">
            <v>1</v>
          </cell>
          <cell r="V1632">
            <v>104550</v>
          </cell>
        </row>
        <row r="1633">
          <cell r="D1633">
            <v>28</v>
          </cell>
          <cell r="F1633">
            <v>1</v>
          </cell>
          <cell r="V1633">
            <v>2861115</v>
          </cell>
        </row>
        <row r="1634">
          <cell r="D1634">
            <v>38</v>
          </cell>
          <cell r="V1634">
            <v>5047160</v>
          </cell>
        </row>
        <row r="1635">
          <cell r="D1635">
            <v>1</v>
          </cell>
          <cell r="V1635">
            <v>260990</v>
          </cell>
        </row>
        <row r="1636">
          <cell r="D1636">
            <v>107</v>
          </cell>
          <cell r="U1636">
            <v>132810</v>
          </cell>
          <cell r="V1636">
            <v>14210670</v>
          </cell>
        </row>
        <row r="1637">
          <cell r="D1637">
            <v>4</v>
          </cell>
          <cell r="U1637">
            <v>139740</v>
          </cell>
          <cell r="V1637">
            <v>558960</v>
          </cell>
        </row>
        <row r="1639">
          <cell r="V1639">
            <v>8521000</v>
          </cell>
        </row>
        <row r="1845">
          <cell r="D1845">
            <v>8</v>
          </cell>
          <cell r="F1845">
            <v>0</v>
          </cell>
          <cell r="G1845">
            <v>0</v>
          </cell>
          <cell r="V1845">
            <v>444400</v>
          </cell>
        </row>
        <row r="1849">
          <cell r="D1849">
            <v>37</v>
          </cell>
          <cell r="V1849">
            <v>2633070</v>
          </cell>
        </row>
        <row r="1861">
          <cell r="D1861">
            <v>51</v>
          </cell>
          <cell r="U1861">
            <v>28810</v>
          </cell>
          <cell r="V1861">
            <v>1469310</v>
          </cell>
        </row>
        <row r="1863">
          <cell r="D1863">
            <v>198</v>
          </cell>
          <cell r="U1863">
            <v>18980</v>
          </cell>
          <cell r="V1863">
            <v>3758040</v>
          </cell>
        </row>
        <row r="1864">
          <cell r="D1864">
            <v>193</v>
          </cell>
          <cell r="U1864">
            <v>59710</v>
          </cell>
          <cell r="V1864">
            <v>11524030</v>
          </cell>
        </row>
        <row r="1865">
          <cell r="U1865">
            <v>74020</v>
          </cell>
          <cell r="V1865">
            <v>0</v>
          </cell>
        </row>
        <row r="1866">
          <cell r="D1866">
            <v>138</v>
          </cell>
          <cell r="U1866">
            <v>2600</v>
          </cell>
          <cell r="V1866">
            <v>358800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5078240</v>
          </cell>
        </row>
        <row r="1889">
          <cell r="V1889">
            <v>4320110</v>
          </cell>
        </row>
        <row r="1914">
          <cell r="V1914">
            <v>2928440</v>
          </cell>
        </row>
        <row r="1941">
          <cell r="D1941">
            <v>317</v>
          </cell>
          <cell r="U1941">
            <v>19890</v>
          </cell>
          <cell r="V1941">
            <v>6305130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97</v>
          </cell>
          <cell r="U1981">
            <v>36070</v>
          </cell>
          <cell r="V1981">
            <v>3498790</v>
          </cell>
        </row>
        <row r="1983">
          <cell r="D1983">
            <v>3</v>
          </cell>
          <cell r="U1983">
            <v>7100</v>
          </cell>
          <cell r="V1983">
            <v>21300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2015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67752</v>
          </cell>
        </row>
        <row r="13">
          <cell r="D13">
            <v>26934</v>
          </cell>
        </row>
        <row r="14">
          <cell r="D14">
            <v>29533</v>
          </cell>
        </row>
        <row r="15">
          <cell r="D15">
            <v>781</v>
          </cell>
        </row>
        <row r="16">
          <cell r="D16">
            <v>0</v>
          </cell>
        </row>
        <row r="17">
          <cell r="D17">
            <v>1575</v>
          </cell>
        </row>
        <row r="18">
          <cell r="D18">
            <v>5830</v>
          </cell>
        </row>
        <row r="19">
          <cell r="D19">
            <v>4873</v>
          </cell>
        </row>
        <row r="20">
          <cell r="D20">
            <v>54</v>
          </cell>
        </row>
        <row r="21">
          <cell r="D21">
            <v>903</v>
          </cell>
        </row>
        <row r="22">
          <cell r="D22">
            <v>10</v>
          </cell>
        </row>
        <row r="23">
          <cell r="D23">
            <v>96</v>
          </cell>
        </row>
        <row r="24">
          <cell r="D24">
            <v>2993</v>
          </cell>
        </row>
        <row r="25">
          <cell r="D25">
            <v>4543</v>
          </cell>
        </row>
        <row r="26">
          <cell r="D26">
            <v>3007</v>
          </cell>
        </row>
        <row r="27">
          <cell r="D27">
            <v>8</v>
          </cell>
        </row>
        <row r="28">
          <cell r="D28">
            <v>597</v>
          </cell>
        </row>
        <row r="30">
          <cell r="D30">
            <v>506</v>
          </cell>
        </row>
        <row r="31">
          <cell r="D31">
            <v>416</v>
          </cell>
        </row>
        <row r="32">
          <cell r="D32">
            <v>9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136</v>
          </cell>
          <cell r="G69">
            <v>0</v>
          </cell>
          <cell r="H69">
            <v>0</v>
          </cell>
        </row>
        <row r="70">
          <cell r="F70">
            <v>31</v>
          </cell>
          <cell r="G70">
            <v>1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67</v>
          </cell>
          <cell r="G72">
            <v>0</v>
          </cell>
          <cell r="H72">
            <v>0</v>
          </cell>
        </row>
        <row r="73">
          <cell r="F73">
            <v>115</v>
          </cell>
          <cell r="G73">
            <v>1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3</v>
          </cell>
          <cell r="G75">
            <v>0</v>
          </cell>
          <cell r="H75">
            <v>0</v>
          </cell>
        </row>
        <row r="76">
          <cell r="F76">
            <v>145</v>
          </cell>
          <cell r="G76">
            <v>19</v>
          </cell>
          <cell r="H76">
            <v>0</v>
          </cell>
        </row>
        <row r="77">
          <cell r="F77">
            <v>9</v>
          </cell>
          <cell r="G77">
            <v>0</v>
          </cell>
          <cell r="H77">
            <v>0</v>
          </cell>
        </row>
        <row r="78">
          <cell r="F78">
            <v>33</v>
          </cell>
          <cell r="G78">
            <v>1</v>
          </cell>
          <cell r="H78">
            <v>0</v>
          </cell>
        </row>
        <row r="79">
          <cell r="F79">
            <v>10</v>
          </cell>
          <cell r="G79">
            <v>0</v>
          </cell>
          <cell r="H79">
            <v>0</v>
          </cell>
        </row>
        <row r="80">
          <cell r="F80">
            <v>42</v>
          </cell>
          <cell r="G80">
            <v>4</v>
          </cell>
          <cell r="H80">
            <v>0</v>
          </cell>
        </row>
        <row r="81">
          <cell r="F81">
            <v>67</v>
          </cell>
          <cell r="G81">
            <v>1</v>
          </cell>
          <cell r="H81">
            <v>0</v>
          </cell>
        </row>
        <row r="82">
          <cell r="F82">
            <v>50</v>
          </cell>
          <cell r="G82">
            <v>2</v>
          </cell>
          <cell r="H82">
            <v>0</v>
          </cell>
        </row>
        <row r="130">
          <cell r="E130">
            <v>1364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6438</v>
          </cell>
          <cell r="U15">
            <v>11590</v>
          </cell>
          <cell r="V15">
            <v>74616420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48</v>
          </cell>
          <cell r="U19">
            <v>14530</v>
          </cell>
          <cell r="V19">
            <v>697440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2153</v>
          </cell>
          <cell r="U23">
            <v>5860</v>
          </cell>
          <cell r="V23">
            <v>12616580</v>
          </cell>
        </row>
        <row r="24">
          <cell r="D24">
            <v>1174</v>
          </cell>
          <cell r="U24">
            <v>7020</v>
          </cell>
          <cell r="V24">
            <v>8241480</v>
          </cell>
        </row>
        <row r="25">
          <cell r="D25">
            <v>2491</v>
          </cell>
          <cell r="U25">
            <v>8710</v>
          </cell>
          <cell r="V25">
            <v>21696610</v>
          </cell>
        </row>
        <row r="27">
          <cell r="D27">
            <v>2090</v>
          </cell>
          <cell r="U27">
            <v>1140</v>
          </cell>
          <cell r="V27">
            <v>2382600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141</v>
          </cell>
          <cell r="U30">
            <v>1550</v>
          </cell>
          <cell r="V30">
            <v>218550</v>
          </cell>
        </row>
        <row r="31">
          <cell r="D31">
            <v>1797</v>
          </cell>
          <cell r="U31">
            <v>1250</v>
          </cell>
          <cell r="V31">
            <v>2246250</v>
          </cell>
        </row>
        <row r="32">
          <cell r="U32">
            <v>1140</v>
          </cell>
          <cell r="V32">
            <v>0</v>
          </cell>
        </row>
        <row r="34">
          <cell r="D34">
            <v>71</v>
          </cell>
          <cell r="U34">
            <v>3750</v>
          </cell>
          <cell r="V34">
            <v>266250</v>
          </cell>
        </row>
        <row r="35">
          <cell r="D35">
            <v>231</v>
          </cell>
          <cell r="U35">
            <v>2060</v>
          </cell>
          <cell r="V35">
            <v>475860</v>
          </cell>
        </row>
        <row r="36">
          <cell r="U36">
            <v>2060</v>
          </cell>
          <cell r="V36">
            <v>0</v>
          </cell>
        </row>
        <row r="37">
          <cell r="D37">
            <v>390</v>
          </cell>
          <cell r="U37">
            <v>630</v>
          </cell>
          <cell r="V37">
            <v>245700</v>
          </cell>
        </row>
        <row r="39">
          <cell r="U39">
            <v>1780</v>
          </cell>
          <cell r="V39">
            <v>0</v>
          </cell>
        </row>
        <row r="40">
          <cell r="D40">
            <v>14</v>
          </cell>
          <cell r="U40">
            <v>1780</v>
          </cell>
          <cell r="V40">
            <v>24920</v>
          </cell>
        </row>
        <row r="41">
          <cell r="U41">
            <v>1030</v>
          </cell>
          <cell r="V41">
            <v>0</v>
          </cell>
        </row>
        <row r="43">
          <cell r="D43">
            <v>291</v>
          </cell>
          <cell r="U43">
            <v>780</v>
          </cell>
          <cell r="V43">
            <v>226980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439</v>
          </cell>
          <cell r="U48">
            <v>680</v>
          </cell>
          <cell r="V48">
            <v>298520</v>
          </cell>
        </row>
        <row r="49">
          <cell r="D49">
            <v>4568</v>
          </cell>
          <cell r="U49">
            <v>2060</v>
          </cell>
          <cell r="V49">
            <v>9410080</v>
          </cell>
        </row>
        <row r="50">
          <cell r="D50">
            <v>60</v>
          </cell>
          <cell r="U50">
            <v>15480</v>
          </cell>
          <cell r="V50">
            <v>928800</v>
          </cell>
        </row>
        <row r="51">
          <cell r="D51">
            <v>98</v>
          </cell>
          <cell r="U51">
            <v>35550</v>
          </cell>
          <cell r="V51">
            <v>3483900</v>
          </cell>
        </row>
        <row r="52">
          <cell r="D52">
            <v>25</v>
          </cell>
          <cell r="V52">
            <v>221750</v>
          </cell>
        </row>
        <row r="59">
          <cell r="D59">
            <v>5576</v>
          </cell>
          <cell r="U59">
            <v>34010</v>
          </cell>
          <cell r="V59">
            <v>189639760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232</v>
          </cell>
          <cell r="U62">
            <v>141410</v>
          </cell>
          <cell r="V62">
            <v>32807120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179</v>
          </cell>
          <cell r="U65">
            <v>68290</v>
          </cell>
          <cell r="V65">
            <v>12223910</v>
          </cell>
        </row>
        <row r="66">
          <cell r="D66">
            <v>146</v>
          </cell>
          <cell r="V66">
            <v>9970340</v>
          </cell>
        </row>
        <row r="67">
          <cell r="V67">
            <v>0</v>
          </cell>
        </row>
        <row r="68">
          <cell r="D68">
            <v>161</v>
          </cell>
          <cell r="U68">
            <v>61270</v>
          </cell>
          <cell r="V68">
            <v>9864470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D75">
            <v>2</v>
          </cell>
          <cell r="U75">
            <v>5040</v>
          </cell>
          <cell r="V75">
            <v>10080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31</v>
          </cell>
          <cell r="U79">
            <v>6600</v>
          </cell>
          <cell r="V79">
            <v>204600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28664620</v>
          </cell>
        </row>
        <row r="174">
          <cell r="V174">
            <v>36505210</v>
          </cell>
        </row>
        <row r="243">
          <cell r="V243">
            <v>2813690</v>
          </cell>
        </row>
        <row r="289">
          <cell r="V289">
            <v>0</v>
          </cell>
        </row>
        <row r="295">
          <cell r="V295">
            <v>7708610</v>
          </cell>
        </row>
        <row r="362">
          <cell r="V362">
            <v>11381210</v>
          </cell>
        </row>
        <row r="405">
          <cell r="V405">
            <v>147840</v>
          </cell>
        </row>
        <row r="428">
          <cell r="V428">
            <v>3770270</v>
          </cell>
        </row>
        <row r="446">
          <cell r="V446">
            <v>105600</v>
          </cell>
        </row>
        <row r="456">
          <cell r="V456">
            <v>187400</v>
          </cell>
        </row>
        <row r="500">
          <cell r="V500">
            <v>3801220</v>
          </cell>
        </row>
        <row r="535">
          <cell r="V535">
            <v>24809260</v>
          </cell>
        </row>
        <row r="590">
          <cell r="V590">
            <v>162800</v>
          </cell>
        </row>
        <row r="615">
          <cell r="V615">
            <v>31062660</v>
          </cell>
        </row>
        <row r="633">
          <cell r="V633">
            <v>8836980</v>
          </cell>
        </row>
        <row r="634">
          <cell r="V634">
            <v>2179840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831</v>
          </cell>
          <cell r="V768">
            <v>5851220</v>
          </cell>
        </row>
        <row r="783">
          <cell r="V783">
            <v>0</v>
          </cell>
        </row>
        <row r="795">
          <cell r="D795">
            <v>239</v>
          </cell>
          <cell r="U795">
            <v>7110</v>
          </cell>
          <cell r="V795">
            <v>1699290</v>
          </cell>
        </row>
        <row r="796">
          <cell r="D796">
            <v>353</v>
          </cell>
          <cell r="U796">
            <v>2780</v>
          </cell>
          <cell r="V796">
            <v>981340</v>
          </cell>
        </row>
        <row r="797">
          <cell r="D797">
            <v>507</v>
          </cell>
          <cell r="U797">
            <v>2780</v>
          </cell>
          <cell r="V797">
            <v>1409460</v>
          </cell>
        </row>
        <row r="798">
          <cell r="D798">
            <v>4</v>
          </cell>
          <cell r="U798">
            <v>11080</v>
          </cell>
          <cell r="V798">
            <v>44320</v>
          </cell>
        </row>
        <row r="799">
          <cell r="D799">
            <v>44</v>
          </cell>
          <cell r="U799">
            <v>12980</v>
          </cell>
          <cell r="V799">
            <v>571120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16</v>
          </cell>
          <cell r="U805">
            <v>14690</v>
          </cell>
          <cell r="V805">
            <v>235040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40264110</v>
          </cell>
        </row>
        <row r="961">
          <cell r="V961">
            <v>3363375</v>
          </cell>
        </row>
        <row r="1036">
          <cell r="U1036">
            <v>9390</v>
          </cell>
          <cell r="V1036">
            <v>0</v>
          </cell>
        </row>
        <row r="1037">
          <cell r="V1037">
            <v>718080</v>
          </cell>
        </row>
        <row r="1098">
          <cell r="V1098">
            <v>2830570</v>
          </cell>
        </row>
        <row r="1166">
          <cell r="V1166">
            <v>2443315</v>
          </cell>
        </row>
        <row r="1197">
          <cell r="D1197">
            <v>591</v>
          </cell>
          <cell r="U1197">
            <v>5030</v>
          </cell>
          <cell r="V1197">
            <v>2972730</v>
          </cell>
        </row>
        <row r="1198">
          <cell r="D1198">
            <v>22</v>
          </cell>
          <cell r="U1198">
            <v>14180</v>
          </cell>
          <cell r="V1198">
            <v>311960</v>
          </cell>
        </row>
        <row r="1199">
          <cell r="D1199">
            <v>62</v>
          </cell>
          <cell r="U1199">
            <v>24050</v>
          </cell>
          <cell r="V1199">
            <v>1491100</v>
          </cell>
        </row>
        <row r="1200">
          <cell r="U1200">
            <v>45920</v>
          </cell>
          <cell r="V1200">
            <v>0</v>
          </cell>
        </row>
        <row r="1201">
          <cell r="D1201">
            <v>127</v>
          </cell>
          <cell r="U1201">
            <v>51180</v>
          </cell>
          <cell r="V1201">
            <v>6499860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128680</v>
          </cell>
        </row>
        <row r="1287">
          <cell r="V1287">
            <v>224310</v>
          </cell>
        </row>
        <row r="1354">
          <cell r="D1354">
            <v>60</v>
          </cell>
          <cell r="U1354">
            <v>34730</v>
          </cell>
          <cell r="V1354">
            <v>2083800</v>
          </cell>
        </row>
        <row r="1355">
          <cell r="U1355">
            <v>41890</v>
          </cell>
          <cell r="V1355">
            <v>0</v>
          </cell>
        </row>
        <row r="1356">
          <cell r="D1356">
            <v>13</v>
          </cell>
          <cell r="U1356">
            <v>44620</v>
          </cell>
          <cell r="V1356">
            <v>580060</v>
          </cell>
        </row>
        <row r="1357">
          <cell r="V1357">
            <v>33605030</v>
          </cell>
        </row>
        <row r="1441">
          <cell r="V1441">
            <v>734240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7004480</v>
          </cell>
        </row>
        <row r="1574">
          <cell r="V1574">
            <v>11689110</v>
          </cell>
        </row>
        <row r="1592">
          <cell r="V1592">
            <v>2615080</v>
          </cell>
        </row>
        <row r="1597">
          <cell r="V1597">
            <v>7819570</v>
          </cell>
        </row>
        <row r="1631">
          <cell r="V1631">
            <v>7943805</v>
          </cell>
        </row>
        <row r="1632">
          <cell r="V1632">
            <v>0</v>
          </cell>
        </row>
        <row r="1633">
          <cell r="D1633">
            <v>31</v>
          </cell>
          <cell r="F1633">
            <v>1</v>
          </cell>
          <cell r="V1633">
            <v>3162285</v>
          </cell>
        </row>
        <row r="1634">
          <cell r="D1634">
            <v>36</v>
          </cell>
          <cell r="V1634">
            <v>4781520</v>
          </cell>
        </row>
        <row r="1635">
          <cell r="V1635">
            <v>0</v>
          </cell>
        </row>
        <row r="1636">
          <cell r="D1636">
            <v>86</v>
          </cell>
          <cell r="U1636">
            <v>132810</v>
          </cell>
          <cell r="V1636">
            <v>11421660</v>
          </cell>
        </row>
        <row r="1637">
          <cell r="D1637">
            <v>2</v>
          </cell>
          <cell r="U1637">
            <v>139740</v>
          </cell>
          <cell r="V1637">
            <v>279480</v>
          </cell>
        </row>
        <row r="1639">
          <cell r="V1639">
            <v>9916140</v>
          </cell>
        </row>
        <row r="1845">
          <cell r="D1845">
            <v>5</v>
          </cell>
          <cell r="F1845">
            <v>0</v>
          </cell>
          <cell r="G1845">
            <v>0</v>
          </cell>
          <cell r="V1845">
            <v>277750</v>
          </cell>
        </row>
        <row r="1849">
          <cell r="D1849">
            <v>39</v>
          </cell>
          <cell r="V1849">
            <v>2669030</v>
          </cell>
        </row>
        <row r="1861">
          <cell r="D1861">
            <v>36</v>
          </cell>
          <cell r="U1861">
            <v>28810</v>
          </cell>
          <cell r="V1861">
            <v>1037160</v>
          </cell>
        </row>
        <row r="1863">
          <cell r="D1863">
            <v>195</v>
          </cell>
          <cell r="U1863">
            <v>18980</v>
          </cell>
          <cell r="V1863">
            <v>3701100</v>
          </cell>
        </row>
        <row r="1864">
          <cell r="D1864">
            <v>164</v>
          </cell>
          <cell r="U1864">
            <v>59710</v>
          </cell>
          <cell r="V1864">
            <v>9792440</v>
          </cell>
        </row>
        <row r="1865">
          <cell r="U1865">
            <v>74020</v>
          </cell>
          <cell r="V1865">
            <v>0</v>
          </cell>
        </row>
        <row r="1866">
          <cell r="D1866">
            <v>139</v>
          </cell>
          <cell r="U1866">
            <v>2600</v>
          </cell>
          <cell r="V1866">
            <v>361400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5698170</v>
          </cell>
        </row>
        <row r="1889">
          <cell r="V1889">
            <v>6124410</v>
          </cell>
        </row>
        <row r="1914">
          <cell r="V1914">
            <v>2623220</v>
          </cell>
        </row>
        <row r="1941">
          <cell r="D1941">
            <v>409</v>
          </cell>
          <cell r="U1941">
            <v>19890</v>
          </cell>
          <cell r="V1941">
            <v>8135010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103</v>
          </cell>
          <cell r="U1981">
            <v>36070</v>
          </cell>
          <cell r="V1981">
            <v>3715210</v>
          </cell>
        </row>
        <row r="1983">
          <cell r="D1983">
            <v>3</v>
          </cell>
          <cell r="U1983">
            <v>7100</v>
          </cell>
          <cell r="V1983">
            <v>21300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2015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67960</v>
          </cell>
        </row>
        <row r="13">
          <cell r="D13">
            <v>26396</v>
          </cell>
        </row>
        <row r="14">
          <cell r="D14">
            <v>30988</v>
          </cell>
        </row>
        <row r="15">
          <cell r="D15">
            <v>947</v>
          </cell>
        </row>
        <row r="16">
          <cell r="D16">
            <v>0</v>
          </cell>
        </row>
        <row r="17">
          <cell r="D17">
            <v>1695</v>
          </cell>
        </row>
        <row r="18">
          <cell r="D18">
            <v>5115</v>
          </cell>
        </row>
        <row r="19">
          <cell r="D19">
            <v>4169</v>
          </cell>
        </row>
        <row r="20">
          <cell r="D20">
            <v>44</v>
          </cell>
        </row>
        <row r="21">
          <cell r="D21">
            <v>902</v>
          </cell>
        </row>
        <row r="22">
          <cell r="D22">
            <v>8</v>
          </cell>
        </row>
        <row r="23">
          <cell r="D23">
            <v>62</v>
          </cell>
        </row>
        <row r="24">
          <cell r="D24">
            <v>2749</v>
          </cell>
        </row>
        <row r="25">
          <cell r="D25">
            <v>4550</v>
          </cell>
        </row>
        <row r="26">
          <cell r="D26">
            <v>2798</v>
          </cell>
        </row>
        <row r="27">
          <cell r="D27">
            <v>6</v>
          </cell>
        </row>
        <row r="28">
          <cell r="D28">
            <v>841</v>
          </cell>
        </row>
        <row r="30">
          <cell r="D30">
            <v>570</v>
          </cell>
        </row>
        <row r="31">
          <cell r="D31">
            <v>153</v>
          </cell>
        </row>
        <row r="32">
          <cell r="D32">
            <v>182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186</v>
          </cell>
          <cell r="G69">
            <v>2</v>
          </cell>
          <cell r="H69">
            <v>0</v>
          </cell>
        </row>
        <row r="70">
          <cell r="F70">
            <v>15</v>
          </cell>
          <cell r="G70">
            <v>2</v>
          </cell>
          <cell r="H70">
            <v>0</v>
          </cell>
        </row>
        <row r="71">
          <cell r="F71">
            <v>4</v>
          </cell>
          <cell r="G71">
            <v>0</v>
          </cell>
          <cell r="H71">
            <v>0</v>
          </cell>
        </row>
        <row r="72">
          <cell r="F72">
            <v>61</v>
          </cell>
          <cell r="G72">
            <v>1</v>
          </cell>
          <cell r="H72">
            <v>0</v>
          </cell>
        </row>
        <row r="73">
          <cell r="F73">
            <v>102</v>
          </cell>
          <cell r="G73">
            <v>0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5</v>
          </cell>
          <cell r="G75">
            <v>1</v>
          </cell>
          <cell r="H75">
            <v>0</v>
          </cell>
        </row>
        <row r="76">
          <cell r="F76">
            <v>138</v>
          </cell>
          <cell r="G76">
            <v>15</v>
          </cell>
          <cell r="H76">
            <v>0</v>
          </cell>
        </row>
        <row r="77">
          <cell r="F77">
            <v>11</v>
          </cell>
          <cell r="G77">
            <v>0</v>
          </cell>
          <cell r="H77">
            <v>0</v>
          </cell>
        </row>
        <row r="78">
          <cell r="F78">
            <v>37</v>
          </cell>
          <cell r="G78">
            <v>0</v>
          </cell>
          <cell r="H78">
            <v>0</v>
          </cell>
        </row>
        <row r="79">
          <cell r="F79">
            <v>8</v>
          </cell>
          <cell r="G79">
            <v>0</v>
          </cell>
          <cell r="H79">
            <v>0</v>
          </cell>
        </row>
        <row r="80">
          <cell r="F80">
            <v>36</v>
          </cell>
          <cell r="G80">
            <v>3</v>
          </cell>
          <cell r="H80">
            <v>0</v>
          </cell>
        </row>
        <row r="81">
          <cell r="F81">
            <v>74</v>
          </cell>
          <cell r="G81">
            <v>0</v>
          </cell>
          <cell r="H81">
            <v>0</v>
          </cell>
        </row>
        <row r="82">
          <cell r="F82">
            <v>40</v>
          </cell>
          <cell r="G82">
            <v>2</v>
          </cell>
          <cell r="H82">
            <v>0</v>
          </cell>
        </row>
        <row r="130">
          <cell r="E130">
            <v>1176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6258</v>
          </cell>
          <cell r="U15">
            <v>11590</v>
          </cell>
          <cell r="V15">
            <v>72530220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55</v>
          </cell>
          <cell r="U19">
            <v>14530</v>
          </cell>
          <cell r="V19">
            <v>799150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1902</v>
          </cell>
          <cell r="U23">
            <v>5860</v>
          </cell>
          <cell r="V23">
            <v>11145720</v>
          </cell>
        </row>
        <row r="24">
          <cell r="D24">
            <v>1129</v>
          </cell>
          <cell r="U24">
            <v>7020</v>
          </cell>
          <cell r="V24">
            <v>7925580</v>
          </cell>
        </row>
        <row r="25">
          <cell r="D25">
            <v>2295</v>
          </cell>
          <cell r="U25">
            <v>8710</v>
          </cell>
          <cell r="V25">
            <v>19989450</v>
          </cell>
        </row>
        <row r="27">
          <cell r="D27">
            <v>1897</v>
          </cell>
          <cell r="U27">
            <v>1140</v>
          </cell>
          <cell r="V27">
            <v>2162580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148</v>
          </cell>
          <cell r="U30">
            <v>1550</v>
          </cell>
          <cell r="V30">
            <v>229400</v>
          </cell>
        </row>
        <row r="31">
          <cell r="D31">
            <v>1405</v>
          </cell>
          <cell r="U31">
            <v>1250</v>
          </cell>
          <cell r="V31">
            <v>1756250</v>
          </cell>
        </row>
        <row r="32">
          <cell r="U32">
            <v>1140</v>
          </cell>
          <cell r="V32">
            <v>0</v>
          </cell>
        </row>
        <row r="34">
          <cell r="D34">
            <v>30</v>
          </cell>
          <cell r="U34">
            <v>3750</v>
          </cell>
          <cell r="V34">
            <v>112500</v>
          </cell>
        </row>
        <row r="35">
          <cell r="D35">
            <v>243</v>
          </cell>
          <cell r="U35">
            <v>2060</v>
          </cell>
          <cell r="V35">
            <v>500580</v>
          </cell>
        </row>
        <row r="36">
          <cell r="U36">
            <v>2060</v>
          </cell>
          <cell r="V36">
            <v>0</v>
          </cell>
        </row>
        <row r="37">
          <cell r="D37">
            <v>300</v>
          </cell>
          <cell r="U37">
            <v>630</v>
          </cell>
          <cell r="V37">
            <v>189000</v>
          </cell>
        </row>
        <row r="39">
          <cell r="D39">
            <v>11</v>
          </cell>
          <cell r="U39">
            <v>1780</v>
          </cell>
          <cell r="V39">
            <v>19580</v>
          </cell>
        </row>
        <row r="40">
          <cell r="D40">
            <v>22</v>
          </cell>
          <cell r="U40">
            <v>1780</v>
          </cell>
          <cell r="V40">
            <v>39160</v>
          </cell>
        </row>
        <row r="41">
          <cell r="D41">
            <v>17</v>
          </cell>
          <cell r="U41">
            <v>1030</v>
          </cell>
          <cell r="V41">
            <v>17510</v>
          </cell>
        </row>
        <row r="43">
          <cell r="D43">
            <v>266</v>
          </cell>
          <cell r="U43">
            <v>780</v>
          </cell>
          <cell r="V43">
            <v>207480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337</v>
          </cell>
          <cell r="U48">
            <v>680</v>
          </cell>
          <cell r="V48">
            <v>229160</v>
          </cell>
        </row>
        <row r="49">
          <cell r="D49">
            <v>4245</v>
          </cell>
          <cell r="U49">
            <v>2060</v>
          </cell>
          <cell r="V49">
            <v>8744700</v>
          </cell>
        </row>
        <row r="50">
          <cell r="D50">
            <v>60</v>
          </cell>
          <cell r="U50">
            <v>15480</v>
          </cell>
          <cell r="V50">
            <v>928800</v>
          </cell>
        </row>
        <row r="51">
          <cell r="D51">
            <v>97</v>
          </cell>
          <cell r="U51">
            <v>35550</v>
          </cell>
          <cell r="V51">
            <v>3448350</v>
          </cell>
        </row>
        <row r="52">
          <cell r="D52">
            <v>0</v>
          </cell>
          <cell r="V52">
            <v>0</v>
          </cell>
        </row>
        <row r="59">
          <cell r="D59">
            <v>5029</v>
          </cell>
          <cell r="U59">
            <v>34010</v>
          </cell>
          <cell r="V59">
            <v>171036290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260</v>
          </cell>
          <cell r="U62">
            <v>141410</v>
          </cell>
          <cell r="V62">
            <v>36766600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188</v>
          </cell>
          <cell r="U65">
            <v>68290</v>
          </cell>
          <cell r="V65">
            <v>12838520</v>
          </cell>
        </row>
        <row r="66">
          <cell r="D66">
            <v>94</v>
          </cell>
          <cell r="V66">
            <v>6419260</v>
          </cell>
        </row>
        <row r="67">
          <cell r="V67">
            <v>0</v>
          </cell>
        </row>
        <row r="68">
          <cell r="D68">
            <v>168</v>
          </cell>
          <cell r="U68">
            <v>61270</v>
          </cell>
          <cell r="V68">
            <v>10293360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D75">
            <v>2</v>
          </cell>
          <cell r="U75">
            <v>5040</v>
          </cell>
          <cell r="V75">
            <v>10080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33</v>
          </cell>
          <cell r="U79">
            <v>6600</v>
          </cell>
          <cell r="V79">
            <v>217800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27775860</v>
          </cell>
        </row>
        <row r="174">
          <cell r="V174">
            <v>38668740</v>
          </cell>
        </row>
        <row r="243">
          <cell r="V243">
            <v>3382030</v>
          </cell>
        </row>
        <row r="289">
          <cell r="V289">
            <v>0</v>
          </cell>
        </row>
        <row r="295">
          <cell r="V295">
            <v>8227730</v>
          </cell>
        </row>
        <row r="362">
          <cell r="V362">
            <v>9611540</v>
          </cell>
        </row>
        <row r="405">
          <cell r="V405">
            <v>121590</v>
          </cell>
        </row>
        <row r="428">
          <cell r="V428">
            <v>3742770</v>
          </cell>
        </row>
        <row r="446">
          <cell r="V446">
            <v>84480</v>
          </cell>
        </row>
        <row r="456">
          <cell r="V456">
            <v>124300</v>
          </cell>
        </row>
        <row r="500">
          <cell r="V500">
            <v>3504290</v>
          </cell>
        </row>
        <row r="535">
          <cell r="V535">
            <v>22984950</v>
          </cell>
        </row>
        <row r="590">
          <cell r="V590">
            <v>102070</v>
          </cell>
        </row>
        <row r="615">
          <cell r="V615">
            <v>44135580</v>
          </cell>
        </row>
        <row r="633">
          <cell r="V633">
            <v>12233140</v>
          </cell>
        </row>
        <row r="634">
          <cell r="V634">
            <v>801720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797</v>
          </cell>
          <cell r="V768">
            <v>5765700</v>
          </cell>
        </row>
        <row r="783">
          <cell r="V783">
            <v>0</v>
          </cell>
        </row>
        <row r="795">
          <cell r="D795">
            <v>181</v>
          </cell>
          <cell r="U795">
            <v>7110</v>
          </cell>
          <cell r="V795">
            <v>1286910</v>
          </cell>
        </row>
        <row r="796">
          <cell r="D796">
            <v>303</v>
          </cell>
          <cell r="U796">
            <v>2780</v>
          </cell>
          <cell r="V796">
            <v>842340</v>
          </cell>
        </row>
        <row r="797">
          <cell r="D797">
            <v>579</v>
          </cell>
          <cell r="U797">
            <v>2780</v>
          </cell>
          <cell r="V797">
            <v>1609620</v>
          </cell>
        </row>
        <row r="798">
          <cell r="D798">
            <v>3</v>
          </cell>
          <cell r="U798">
            <v>11080</v>
          </cell>
          <cell r="V798">
            <v>33240</v>
          </cell>
        </row>
        <row r="799">
          <cell r="D799">
            <v>47</v>
          </cell>
          <cell r="U799">
            <v>12980</v>
          </cell>
          <cell r="V799">
            <v>610060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14</v>
          </cell>
          <cell r="U805">
            <v>14690</v>
          </cell>
          <cell r="V805">
            <v>205660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153900</v>
          </cell>
        </row>
        <row r="882">
          <cell r="V882">
            <v>68808795</v>
          </cell>
        </row>
        <row r="961">
          <cell r="V961">
            <v>1702755</v>
          </cell>
        </row>
        <row r="1036">
          <cell r="U1036">
            <v>9390</v>
          </cell>
          <cell r="V1036">
            <v>0</v>
          </cell>
        </row>
        <row r="1037">
          <cell r="V1037">
            <v>369060</v>
          </cell>
        </row>
        <row r="1098">
          <cell r="V1098">
            <v>2993460</v>
          </cell>
        </row>
        <row r="1166">
          <cell r="V1166">
            <v>2023760</v>
          </cell>
        </row>
        <row r="1197">
          <cell r="D1197">
            <v>699</v>
          </cell>
          <cell r="U1197">
            <v>5030</v>
          </cell>
          <cell r="V1197">
            <v>3515970</v>
          </cell>
        </row>
        <row r="1198">
          <cell r="D1198">
            <v>35</v>
          </cell>
          <cell r="U1198">
            <v>14180</v>
          </cell>
          <cell r="V1198">
            <v>496300</v>
          </cell>
        </row>
        <row r="1199">
          <cell r="D1199">
            <v>35</v>
          </cell>
          <cell r="U1199">
            <v>24050</v>
          </cell>
          <cell r="V1199">
            <v>841750</v>
          </cell>
        </row>
        <row r="1200">
          <cell r="U1200">
            <v>45920</v>
          </cell>
          <cell r="V1200">
            <v>0</v>
          </cell>
        </row>
        <row r="1201">
          <cell r="D1201">
            <v>157</v>
          </cell>
          <cell r="U1201">
            <v>51180</v>
          </cell>
          <cell r="V1201">
            <v>8035260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142190</v>
          </cell>
        </row>
        <row r="1287">
          <cell r="V1287">
            <v>359785</v>
          </cell>
        </row>
        <row r="1354">
          <cell r="D1354">
            <v>57</v>
          </cell>
          <cell r="U1354">
            <v>34730</v>
          </cell>
          <cell r="V1354">
            <v>1979610</v>
          </cell>
        </row>
        <row r="1355">
          <cell r="U1355">
            <v>41890</v>
          </cell>
          <cell r="V1355">
            <v>0</v>
          </cell>
        </row>
        <row r="1356">
          <cell r="D1356">
            <v>17</v>
          </cell>
          <cell r="U1356">
            <v>44620</v>
          </cell>
          <cell r="V1356">
            <v>758540</v>
          </cell>
        </row>
        <row r="1357">
          <cell r="V1357">
            <v>32474210</v>
          </cell>
        </row>
        <row r="1441">
          <cell r="V1441">
            <v>857970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7299760</v>
          </cell>
        </row>
        <row r="1574">
          <cell r="V1574">
            <v>11021340</v>
          </cell>
        </row>
        <row r="1592">
          <cell r="V1592">
            <v>2099740</v>
          </cell>
        </row>
        <row r="1597">
          <cell r="V1597">
            <v>7955380</v>
          </cell>
        </row>
        <row r="1631">
          <cell r="V1631">
            <v>8693630</v>
          </cell>
        </row>
        <row r="1632">
          <cell r="V1632">
            <v>0</v>
          </cell>
        </row>
        <row r="1633">
          <cell r="D1633">
            <v>35</v>
          </cell>
          <cell r="V1633">
            <v>3513650</v>
          </cell>
        </row>
        <row r="1634">
          <cell r="D1634">
            <v>39</v>
          </cell>
          <cell r="V1634">
            <v>5179980</v>
          </cell>
        </row>
        <row r="1635">
          <cell r="V1635">
            <v>0</v>
          </cell>
        </row>
        <row r="1636">
          <cell r="D1636">
            <v>93</v>
          </cell>
          <cell r="U1636">
            <v>132810</v>
          </cell>
          <cell r="V1636">
            <v>12351330</v>
          </cell>
        </row>
        <row r="1637">
          <cell r="D1637">
            <v>4</v>
          </cell>
          <cell r="U1637">
            <v>139740</v>
          </cell>
          <cell r="V1637">
            <v>558960</v>
          </cell>
        </row>
        <row r="1639">
          <cell r="V1639">
            <v>8702990</v>
          </cell>
        </row>
        <row r="1845">
          <cell r="D1845">
            <v>11</v>
          </cell>
          <cell r="F1845">
            <v>0</v>
          </cell>
          <cell r="G1845">
            <v>0</v>
          </cell>
          <cell r="V1845">
            <v>832490</v>
          </cell>
        </row>
        <row r="1849">
          <cell r="D1849">
            <v>42</v>
          </cell>
          <cell r="V1849">
            <v>2520870</v>
          </cell>
        </row>
        <row r="1861">
          <cell r="D1861">
            <v>46</v>
          </cell>
          <cell r="U1861">
            <v>28810</v>
          </cell>
          <cell r="V1861">
            <v>1325260</v>
          </cell>
        </row>
        <row r="1863">
          <cell r="D1863">
            <v>214</v>
          </cell>
          <cell r="U1863">
            <v>18980</v>
          </cell>
          <cell r="V1863">
            <v>4061720</v>
          </cell>
        </row>
        <row r="1864">
          <cell r="D1864">
            <v>171</v>
          </cell>
          <cell r="U1864">
            <v>59710</v>
          </cell>
          <cell r="V1864">
            <v>10210410</v>
          </cell>
        </row>
        <row r="1865">
          <cell r="U1865">
            <v>74020</v>
          </cell>
          <cell r="V1865">
            <v>0</v>
          </cell>
        </row>
        <row r="1866">
          <cell r="D1866">
            <v>162</v>
          </cell>
          <cell r="U1866">
            <v>2600</v>
          </cell>
          <cell r="V1866">
            <v>421200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4945280</v>
          </cell>
        </row>
        <row r="1889">
          <cell r="V1889">
            <v>5815360</v>
          </cell>
        </row>
        <row r="1914">
          <cell r="V1914">
            <v>2087360</v>
          </cell>
        </row>
        <row r="1941">
          <cell r="D1941">
            <v>497</v>
          </cell>
          <cell r="U1941">
            <v>19890</v>
          </cell>
          <cell r="V1941">
            <v>9885330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104</v>
          </cell>
          <cell r="U1981">
            <v>36070</v>
          </cell>
          <cell r="V1981">
            <v>3751280</v>
          </cell>
        </row>
        <row r="1983">
          <cell r="D1983">
            <v>3</v>
          </cell>
          <cell r="U1983">
            <v>7100</v>
          </cell>
          <cell r="V1983">
            <v>21300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2015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62925</v>
          </cell>
        </row>
        <row r="13">
          <cell r="D13">
            <v>23860</v>
          </cell>
        </row>
        <row r="14">
          <cell r="D14">
            <v>27737</v>
          </cell>
        </row>
        <row r="15">
          <cell r="D15">
            <v>1014</v>
          </cell>
        </row>
        <row r="16">
          <cell r="D16">
            <v>0</v>
          </cell>
        </row>
        <row r="17">
          <cell r="D17">
            <v>1702</v>
          </cell>
        </row>
        <row r="18">
          <cell r="D18">
            <v>5865</v>
          </cell>
        </row>
        <row r="19">
          <cell r="D19">
            <v>4671</v>
          </cell>
        </row>
        <row r="20">
          <cell r="D20">
            <v>51</v>
          </cell>
        </row>
        <row r="21">
          <cell r="D21">
            <v>1143</v>
          </cell>
        </row>
        <row r="22">
          <cell r="D22">
            <v>0</v>
          </cell>
        </row>
        <row r="23">
          <cell r="D23">
            <v>63</v>
          </cell>
        </row>
        <row r="24">
          <cell r="D24">
            <v>2684</v>
          </cell>
        </row>
        <row r="25">
          <cell r="D25">
            <v>4494</v>
          </cell>
        </row>
        <row r="26">
          <cell r="D26">
            <v>2663</v>
          </cell>
        </row>
        <row r="27">
          <cell r="D27">
            <v>8</v>
          </cell>
        </row>
        <row r="28">
          <cell r="D28">
            <v>817</v>
          </cell>
        </row>
        <row r="30">
          <cell r="D30">
            <v>650</v>
          </cell>
        </row>
        <row r="31">
          <cell r="D31">
            <v>175</v>
          </cell>
        </row>
        <row r="32">
          <cell r="D32">
            <v>181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3</v>
          </cell>
          <cell r="G68">
            <v>0</v>
          </cell>
          <cell r="H68">
            <v>0</v>
          </cell>
        </row>
        <row r="69">
          <cell r="F69">
            <v>199</v>
          </cell>
          <cell r="G69">
            <v>2</v>
          </cell>
          <cell r="H69">
            <v>0</v>
          </cell>
        </row>
        <row r="70">
          <cell r="F70">
            <v>28</v>
          </cell>
          <cell r="G70">
            <v>2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62</v>
          </cell>
          <cell r="G72">
            <v>1</v>
          </cell>
          <cell r="H72">
            <v>0</v>
          </cell>
        </row>
        <row r="73">
          <cell r="F73">
            <v>90</v>
          </cell>
          <cell r="G73">
            <v>2</v>
          </cell>
          <cell r="H73">
            <v>0</v>
          </cell>
        </row>
        <row r="74">
          <cell r="F74">
            <v>2</v>
          </cell>
          <cell r="G74">
            <v>0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160</v>
          </cell>
          <cell r="G76">
            <v>8</v>
          </cell>
          <cell r="H76">
            <v>0</v>
          </cell>
        </row>
        <row r="77">
          <cell r="F77">
            <v>7</v>
          </cell>
          <cell r="G77">
            <v>0</v>
          </cell>
          <cell r="H77">
            <v>0</v>
          </cell>
        </row>
        <row r="78">
          <cell r="F78">
            <v>39</v>
          </cell>
          <cell r="G78">
            <v>3</v>
          </cell>
          <cell r="H78">
            <v>0</v>
          </cell>
        </row>
        <row r="79">
          <cell r="F79">
            <v>9</v>
          </cell>
          <cell r="G79">
            <v>0</v>
          </cell>
          <cell r="H79">
            <v>0</v>
          </cell>
        </row>
        <row r="80">
          <cell r="F80">
            <v>34</v>
          </cell>
          <cell r="G80">
            <v>3</v>
          </cell>
          <cell r="H80">
            <v>0</v>
          </cell>
        </row>
        <row r="81">
          <cell r="F81">
            <v>61</v>
          </cell>
          <cell r="G81">
            <v>0</v>
          </cell>
          <cell r="H81">
            <v>0</v>
          </cell>
        </row>
        <row r="82">
          <cell r="F82">
            <v>46</v>
          </cell>
          <cell r="G82">
            <v>2</v>
          </cell>
          <cell r="H82">
            <v>0</v>
          </cell>
        </row>
        <row r="130">
          <cell r="E130">
            <v>1162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5748</v>
          </cell>
          <cell r="U15">
            <v>11590</v>
          </cell>
          <cell r="V15">
            <v>66619320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69</v>
          </cell>
          <cell r="U19">
            <v>14530</v>
          </cell>
          <cell r="V19">
            <v>1002570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2015</v>
          </cell>
          <cell r="U23">
            <v>5860</v>
          </cell>
          <cell r="V23">
            <v>11807900</v>
          </cell>
        </row>
        <row r="24">
          <cell r="D24">
            <v>1090</v>
          </cell>
          <cell r="U24">
            <v>7020</v>
          </cell>
          <cell r="V24">
            <v>7651800</v>
          </cell>
        </row>
        <row r="25">
          <cell r="D25">
            <v>2595</v>
          </cell>
          <cell r="U25">
            <v>8710</v>
          </cell>
          <cell r="V25">
            <v>22602450</v>
          </cell>
        </row>
        <row r="27">
          <cell r="D27">
            <v>2085</v>
          </cell>
          <cell r="U27">
            <v>1140</v>
          </cell>
          <cell r="V27">
            <v>2376900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199</v>
          </cell>
          <cell r="U30">
            <v>1550</v>
          </cell>
          <cell r="V30">
            <v>308450</v>
          </cell>
        </row>
        <row r="31">
          <cell r="D31">
            <v>1143</v>
          </cell>
          <cell r="U31">
            <v>1250</v>
          </cell>
          <cell r="V31">
            <v>1428750</v>
          </cell>
        </row>
        <row r="32">
          <cell r="U32">
            <v>1140</v>
          </cell>
          <cell r="V32">
            <v>0</v>
          </cell>
        </row>
        <row r="34">
          <cell r="D34">
            <v>76</v>
          </cell>
          <cell r="U34">
            <v>3750</v>
          </cell>
          <cell r="V34">
            <v>285000</v>
          </cell>
        </row>
        <row r="35">
          <cell r="D35">
            <v>173</v>
          </cell>
          <cell r="U35">
            <v>2060</v>
          </cell>
          <cell r="V35">
            <v>356380</v>
          </cell>
        </row>
        <row r="36">
          <cell r="U36">
            <v>2060</v>
          </cell>
          <cell r="V36">
            <v>0</v>
          </cell>
        </row>
        <row r="37">
          <cell r="D37">
            <v>300</v>
          </cell>
          <cell r="U37">
            <v>630</v>
          </cell>
          <cell r="V37">
            <v>189000</v>
          </cell>
        </row>
        <row r="39">
          <cell r="U39">
            <v>1780</v>
          </cell>
          <cell r="V39">
            <v>0</v>
          </cell>
        </row>
        <row r="40">
          <cell r="D40">
            <v>65</v>
          </cell>
          <cell r="U40">
            <v>1780</v>
          </cell>
          <cell r="V40">
            <v>115700</v>
          </cell>
        </row>
        <row r="41">
          <cell r="U41">
            <v>1030</v>
          </cell>
          <cell r="V41">
            <v>0</v>
          </cell>
        </row>
        <row r="43">
          <cell r="D43">
            <v>256</v>
          </cell>
          <cell r="U43">
            <v>780</v>
          </cell>
          <cell r="V43">
            <v>199680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385</v>
          </cell>
          <cell r="U48">
            <v>680</v>
          </cell>
          <cell r="V48">
            <v>261800</v>
          </cell>
        </row>
        <row r="49">
          <cell r="D49">
            <v>4226</v>
          </cell>
          <cell r="U49">
            <v>2060</v>
          </cell>
          <cell r="V49">
            <v>8705560</v>
          </cell>
        </row>
        <row r="50">
          <cell r="D50">
            <v>66</v>
          </cell>
          <cell r="U50">
            <v>15480</v>
          </cell>
          <cell r="V50">
            <v>1021680</v>
          </cell>
        </row>
        <row r="51">
          <cell r="D51">
            <v>103</v>
          </cell>
          <cell r="U51">
            <v>35550</v>
          </cell>
          <cell r="V51">
            <v>3661650</v>
          </cell>
        </row>
        <row r="52">
          <cell r="D52">
            <v>25</v>
          </cell>
          <cell r="V52">
            <v>221750</v>
          </cell>
        </row>
        <row r="59">
          <cell r="D59">
            <v>5588</v>
          </cell>
          <cell r="U59">
            <v>34010</v>
          </cell>
          <cell r="V59">
            <v>190047880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200</v>
          </cell>
          <cell r="U62">
            <v>141410</v>
          </cell>
          <cell r="V62">
            <v>28282000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128</v>
          </cell>
          <cell r="U65">
            <v>68290</v>
          </cell>
          <cell r="V65">
            <v>8741120</v>
          </cell>
        </row>
        <row r="66">
          <cell r="D66">
            <v>189</v>
          </cell>
          <cell r="V66">
            <v>12906810</v>
          </cell>
        </row>
        <row r="67">
          <cell r="V67">
            <v>0</v>
          </cell>
        </row>
        <row r="68">
          <cell r="D68">
            <v>196</v>
          </cell>
          <cell r="U68">
            <v>61270</v>
          </cell>
          <cell r="V68">
            <v>12008920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U75">
            <v>5040</v>
          </cell>
          <cell r="V75">
            <v>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39</v>
          </cell>
          <cell r="U79">
            <v>6600</v>
          </cell>
          <cell r="V79">
            <v>257400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26550780</v>
          </cell>
        </row>
        <row r="174">
          <cell r="V174">
            <v>34416880</v>
          </cell>
        </row>
        <row r="243">
          <cell r="V243">
            <v>3618360</v>
          </cell>
        </row>
        <row r="289">
          <cell r="V289">
            <v>0</v>
          </cell>
        </row>
        <row r="295">
          <cell r="V295">
            <v>8168080</v>
          </cell>
        </row>
        <row r="362">
          <cell r="V362">
            <v>10720640</v>
          </cell>
        </row>
        <row r="405">
          <cell r="V405">
            <v>148810</v>
          </cell>
        </row>
        <row r="428">
          <cell r="V428">
            <v>4727690</v>
          </cell>
        </row>
        <row r="446">
          <cell r="V446">
            <v>0</v>
          </cell>
        </row>
        <row r="456">
          <cell r="V456">
            <v>142540</v>
          </cell>
        </row>
        <row r="500">
          <cell r="V500">
            <v>3493300</v>
          </cell>
        </row>
        <row r="535">
          <cell r="V535">
            <v>21802610</v>
          </cell>
        </row>
        <row r="590">
          <cell r="V590">
            <v>148240</v>
          </cell>
        </row>
        <row r="615">
          <cell r="V615">
            <v>43250650</v>
          </cell>
        </row>
        <row r="633">
          <cell r="V633">
            <v>13352360</v>
          </cell>
        </row>
        <row r="634">
          <cell r="V634">
            <v>917000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510</v>
          </cell>
          <cell r="V768">
            <v>3618190</v>
          </cell>
        </row>
        <row r="783">
          <cell r="V783">
            <v>0</v>
          </cell>
        </row>
        <row r="795">
          <cell r="D795">
            <v>203</v>
          </cell>
          <cell r="U795">
            <v>7110</v>
          </cell>
          <cell r="V795">
            <v>1443330</v>
          </cell>
        </row>
        <row r="796">
          <cell r="D796">
            <v>382</v>
          </cell>
          <cell r="U796">
            <v>2780</v>
          </cell>
          <cell r="V796">
            <v>1061960</v>
          </cell>
        </row>
        <row r="797">
          <cell r="D797">
            <v>677</v>
          </cell>
          <cell r="U797">
            <v>2780</v>
          </cell>
          <cell r="V797">
            <v>1882060</v>
          </cell>
        </row>
        <row r="798">
          <cell r="D798">
            <v>8</v>
          </cell>
          <cell r="U798">
            <v>11080</v>
          </cell>
          <cell r="V798">
            <v>88640</v>
          </cell>
        </row>
        <row r="799">
          <cell r="D799">
            <v>69</v>
          </cell>
          <cell r="U799">
            <v>12980</v>
          </cell>
          <cell r="V799">
            <v>895620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16</v>
          </cell>
          <cell r="U805">
            <v>14690</v>
          </cell>
          <cell r="V805">
            <v>235040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461700</v>
          </cell>
        </row>
        <row r="882">
          <cell r="V882">
            <v>64798290</v>
          </cell>
        </row>
        <row r="961">
          <cell r="V961">
            <v>3021670</v>
          </cell>
        </row>
        <row r="1036">
          <cell r="U1036">
            <v>9390</v>
          </cell>
          <cell r="V1036">
            <v>0</v>
          </cell>
        </row>
        <row r="1037">
          <cell r="V1037">
            <v>351670</v>
          </cell>
        </row>
        <row r="1098">
          <cell r="V1098">
            <v>3912480</v>
          </cell>
        </row>
        <row r="1166">
          <cell r="V1166">
            <v>2386215</v>
          </cell>
        </row>
        <row r="1197">
          <cell r="D1197">
            <v>518</v>
          </cell>
          <cell r="U1197">
            <v>5030</v>
          </cell>
          <cell r="V1197">
            <v>2605540</v>
          </cell>
        </row>
        <row r="1198">
          <cell r="D1198">
            <v>17</v>
          </cell>
          <cell r="U1198">
            <v>14180</v>
          </cell>
          <cell r="V1198">
            <v>241060</v>
          </cell>
        </row>
        <row r="1199">
          <cell r="D1199">
            <v>59</v>
          </cell>
          <cell r="U1199">
            <v>24050</v>
          </cell>
          <cell r="V1199">
            <v>1418950</v>
          </cell>
        </row>
        <row r="1200">
          <cell r="U1200">
            <v>45920</v>
          </cell>
          <cell r="V1200">
            <v>0</v>
          </cell>
        </row>
        <row r="1201">
          <cell r="D1201">
            <v>166</v>
          </cell>
          <cell r="U1201">
            <v>51180</v>
          </cell>
          <cell r="V1201">
            <v>8495880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271250</v>
          </cell>
        </row>
        <row r="1287">
          <cell r="V1287">
            <v>54190</v>
          </cell>
        </row>
        <row r="1354">
          <cell r="D1354">
            <v>22</v>
          </cell>
          <cell r="U1354">
            <v>34730</v>
          </cell>
          <cell r="V1354">
            <v>764060</v>
          </cell>
        </row>
        <row r="1355">
          <cell r="U1355">
            <v>41890</v>
          </cell>
          <cell r="V1355">
            <v>0</v>
          </cell>
        </row>
        <row r="1356">
          <cell r="D1356">
            <v>21</v>
          </cell>
          <cell r="U1356">
            <v>44620</v>
          </cell>
          <cell r="V1356">
            <v>937020</v>
          </cell>
        </row>
        <row r="1357">
          <cell r="V1357">
            <v>38530350</v>
          </cell>
        </row>
        <row r="1441">
          <cell r="V1441">
            <v>611110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7737790</v>
          </cell>
        </row>
        <row r="1574">
          <cell r="V1574">
            <v>10632760</v>
          </cell>
        </row>
        <row r="1592">
          <cell r="V1592">
            <v>2486400</v>
          </cell>
        </row>
        <row r="1597">
          <cell r="V1597">
            <v>6596210</v>
          </cell>
        </row>
        <row r="1631">
          <cell r="V1631">
            <v>7518280</v>
          </cell>
        </row>
        <row r="1632">
          <cell r="V1632">
            <v>0</v>
          </cell>
        </row>
        <row r="1633">
          <cell r="D1633">
            <v>18</v>
          </cell>
          <cell r="V1633">
            <v>1807020</v>
          </cell>
        </row>
        <row r="1634">
          <cell r="D1634">
            <v>43</v>
          </cell>
          <cell r="V1634">
            <v>5711260</v>
          </cell>
        </row>
        <row r="1635">
          <cell r="V1635">
            <v>0</v>
          </cell>
        </row>
        <row r="1636">
          <cell r="D1636">
            <v>86</v>
          </cell>
          <cell r="U1636">
            <v>132810</v>
          </cell>
          <cell r="V1636">
            <v>11421660</v>
          </cell>
        </row>
        <row r="1637">
          <cell r="D1637">
            <v>10</v>
          </cell>
          <cell r="U1637">
            <v>139740</v>
          </cell>
          <cell r="V1637">
            <v>1397400</v>
          </cell>
        </row>
        <row r="1639">
          <cell r="V1639">
            <v>10202460</v>
          </cell>
        </row>
        <row r="1845">
          <cell r="D1845">
            <v>5</v>
          </cell>
          <cell r="F1845">
            <v>1</v>
          </cell>
          <cell r="G1845">
            <v>0</v>
          </cell>
          <cell r="V1845">
            <v>305525</v>
          </cell>
        </row>
        <row r="1849">
          <cell r="D1849">
            <v>29</v>
          </cell>
          <cell r="V1849">
            <v>1938350</v>
          </cell>
        </row>
        <row r="1861">
          <cell r="D1861">
            <v>54</v>
          </cell>
          <cell r="U1861">
            <v>28810</v>
          </cell>
          <cell r="V1861">
            <v>1555740</v>
          </cell>
        </row>
        <row r="1863">
          <cell r="D1863">
            <v>195</v>
          </cell>
          <cell r="U1863">
            <v>18980</v>
          </cell>
          <cell r="V1863">
            <v>3701100</v>
          </cell>
        </row>
        <row r="1864">
          <cell r="D1864">
            <v>182</v>
          </cell>
          <cell r="U1864">
            <v>59710</v>
          </cell>
          <cell r="V1864">
            <v>10867220</v>
          </cell>
        </row>
        <row r="1865">
          <cell r="U1865">
            <v>74020</v>
          </cell>
          <cell r="V1865">
            <v>0</v>
          </cell>
        </row>
        <row r="1866">
          <cell r="D1866">
            <v>176</v>
          </cell>
          <cell r="U1866">
            <v>2600</v>
          </cell>
          <cell r="V1866">
            <v>457600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5163890</v>
          </cell>
        </row>
        <row r="1889">
          <cell r="V1889">
            <v>5839410</v>
          </cell>
        </row>
        <row r="1914">
          <cell r="V1914">
            <v>2655160</v>
          </cell>
        </row>
        <row r="1941">
          <cell r="D1941">
            <v>210</v>
          </cell>
          <cell r="U1941">
            <v>19890</v>
          </cell>
          <cell r="V1941">
            <v>4176900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103</v>
          </cell>
          <cell r="U1981">
            <v>36070</v>
          </cell>
          <cell r="V1981">
            <v>3715210</v>
          </cell>
        </row>
        <row r="1983">
          <cell r="D1983">
            <v>4</v>
          </cell>
          <cell r="U1983">
            <v>7100</v>
          </cell>
          <cell r="V1983">
            <v>28400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2015</v>
          </cell>
        </row>
        <row r="11">
          <cell r="B11" t="str">
            <v>Dr. Francisco Martínez Cavalla</v>
          </cell>
        </row>
        <row r="12">
          <cell r="A12" t="str">
            <v>Jefe de Estadisticas</v>
          </cell>
          <cell r="B12" t="str">
            <v>Sra. María Inés Núñez González</v>
          </cell>
        </row>
      </sheetData>
      <sheetData sheetId="1"/>
      <sheetData sheetId="2">
        <row r="12">
          <cell r="D12">
            <v>66972</v>
          </cell>
        </row>
        <row r="13">
          <cell r="D13">
            <v>25788</v>
          </cell>
        </row>
        <row r="14">
          <cell r="D14">
            <v>28131</v>
          </cell>
        </row>
        <row r="15">
          <cell r="D15">
            <v>1110</v>
          </cell>
        </row>
        <row r="16">
          <cell r="D16">
            <v>0</v>
          </cell>
        </row>
        <row r="17">
          <cell r="D17">
            <v>1666</v>
          </cell>
        </row>
        <row r="18">
          <cell r="D18">
            <v>7340</v>
          </cell>
        </row>
        <row r="19">
          <cell r="D19">
            <v>5186</v>
          </cell>
        </row>
        <row r="20">
          <cell r="D20">
            <v>63</v>
          </cell>
        </row>
        <row r="21">
          <cell r="D21">
            <v>2091</v>
          </cell>
        </row>
        <row r="22">
          <cell r="D22">
            <v>0</v>
          </cell>
        </row>
        <row r="23">
          <cell r="D23">
            <v>76</v>
          </cell>
        </row>
        <row r="24">
          <cell r="D24">
            <v>2861</v>
          </cell>
        </row>
        <row r="25">
          <cell r="D25">
            <v>4992</v>
          </cell>
        </row>
        <row r="26">
          <cell r="D26">
            <v>3055</v>
          </cell>
        </row>
        <row r="27">
          <cell r="D27">
            <v>10</v>
          </cell>
        </row>
        <row r="28">
          <cell r="D28">
            <v>745</v>
          </cell>
        </row>
        <row r="30">
          <cell r="D30">
            <v>878</v>
          </cell>
        </row>
        <row r="31">
          <cell r="D31">
            <v>105</v>
          </cell>
        </row>
        <row r="32">
          <cell r="D32">
            <v>199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94</v>
          </cell>
          <cell r="G69">
            <v>0</v>
          </cell>
          <cell r="H69">
            <v>0</v>
          </cell>
        </row>
        <row r="70">
          <cell r="F70">
            <v>16</v>
          </cell>
          <cell r="G70">
            <v>1</v>
          </cell>
          <cell r="H70">
            <v>0</v>
          </cell>
        </row>
        <row r="71">
          <cell r="F71">
            <v>9</v>
          </cell>
          <cell r="G71">
            <v>0</v>
          </cell>
          <cell r="H71">
            <v>0</v>
          </cell>
        </row>
        <row r="72">
          <cell r="F72">
            <v>59</v>
          </cell>
          <cell r="G72">
            <v>2</v>
          </cell>
          <cell r="H72">
            <v>0</v>
          </cell>
        </row>
        <row r="73">
          <cell r="F73">
            <v>89</v>
          </cell>
          <cell r="G73">
            <v>1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7</v>
          </cell>
          <cell r="G75">
            <v>0</v>
          </cell>
          <cell r="H75">
            <v>0</v>
          </cell>
        </row>
        <row r="76">
          <cell r="F76">
            <v>145</v>
          </cell>
          <cell r="G76">
            <v>12</v>
          </cell>
          <cell r="H76">
            <v>3</v>
          </cell>
        </row>
        <row r="77">
          <cell r="F77">
            <v>9</v>
          </cell>
          <cell r="G77">
            <v>0</v>
          </cell>
          <cell r="H77">
            <v>0</v>
          </cell>
        </row>
        <row r="78">
          <cell r="F78">
            <v>29</v>
          </cell>
          <cell r="G78">
            <v>0</v>
          </cell>
          <cell r="H78">
            <v>0</v>
          </cell>
        </row>
        <row r="79">
          <cell r="F79">
            <v>6</v>
          </cell>
          <cell r="G79">
            <v>0</v>
          </cell>
          <cell r="H79">
            <v>0</v>
          </cell>
        </row>
        <row r="80">
          <cell r="F80">
            <v>43</v>
          </cell>
          <cell r="G80">
            <v>3</v>
          </cell>
          <cell r="H80">
            <v>1</v>
          </cell>
        </row>
        <row r="81">
          <cell r="F81">
            <v>60</v>
          </cell>
          <cell r="G81">
            <v>0</v>
          </cell>
          <cell r="H81">
            <v>0</v>
          </cell>
        </row>
        <row r="82">
          <cell r="F82">
            <v>38</v>
          </cell>
          <cell r="G82">
            <v>2</v>
          </cell>
          <cell r="H82">
            <v>0</v>
          </cell>
        </row>
        <row r="130">
          <cell r="E130">
            <v>898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6171</v>
          </cell>
          <cell r="U15">
            <v>11590</v>
          </cell>
          <cell r="V15">
            <v>71521890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50</v>
          </cell>
          <cell r="U19">
            <v>14530</v>
          </cell>
          <cell r="V19">
            <v>726500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2121</v>
          </cell>
          <cell r="U23">
            <v>5860</v>
          </cell>
          <cell r="V23">
            <v>12429060</v>
          </cell>
        </row>
        <row r="24">
          <cell r="D24">
            <v>1227</v>
          </cell>
          <cell r="U24">
            <v>7020</v>
          </cell>
          <cell r="V24">
            <v>8613540</v>
          </cell>
        </row>
        <row r="25">
          <cell r="D25">
            <v>2838</v>
          </cell>
          <cell r="U25">
            <v>8710</v>
          </cell>
          <cell r="V25">
            <v>24718980</v>
          </cell>
        </row>
        <row r="27">
          <cell r="D27">
            <v>1976</v>
          </cell>
          <cell r="U27">
            <v>1140</v>
          </cell>
          <cell r="V27">
            <v>2252640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125</v>
          </cell>
          <cell r="U30">
            <v>1550</v>
          </cell>
          <cell r="V30">
            <v>193750</v>
          </cell>
        </row>
        <row r="31">
          <cell r="D31">
            <v>1981</v>
          </cell>
          <cell r="U31">
            <v>1250</v>
          </cell>
          <cell r="V31">
            <v>2476250</v>
          </cell>
        </row>
        <row r="32">
          <cell r="U32">
            <v>1140</v>
          </cell>
          <cell r="V32">
            <v>0</v>
          </cell>
        </row>
        <row r="34">
          <cell r="D34">
            <v>54</v>
          </cell>
          <cell r="U34">
            <v>3750</v>
          </cell>
          <cell r="V34">
            <v>202500</v>
          </cell>
        </row>
        <row r="35">
          <cell r="D35">
            <v>277</v>
          </cell>
          <cell r="U35">
            <v>2060</v>
          </cell>
          <cell r="V35">
            <v>570620</v>
          </cell>
        </row>
        <row r="36">
          <cell r="U36">
            <v>2060</v>
          </cell>
          <cell r="V36">
            <v>0</v>
          </cell>
        </row>
        <row r="37">
          <cell r="D37">
            <v>300</v>
          </cell>
          <cell r="U37">
            <v>630</v>
          </cell>
          <cell r="V37">
            <v>189000</v>
          </cell>
        </row>
        <row r="39">
          <cell r="D39">
            <v>165</v>
          </cell>
          <cell r="U39">
            <v>1780</v>
          </cell>
          <cell r="V39">
            <v>293700</v>
          </cell>
        </row>
        <row r="40">
          <cell r="D40">
            <v>19</v>
          </cell>
          <cell r="U40">
            <v>1780</v>
          </cell>
          <cell r="V40">
            <v>33820</v>
          </cell>
        </row>
        <row r="41">
          <cell r="D41">
            <v>84</v>
          </cell>
          <cell r="U41">
            <v>1030</v>
          </cell>
          <cell r="V41">
            <v>86520</v>
          </cell>
        </row>
        <row r="43">
          <cell r="D43">
            <v>205</v>
          </cell>
          <cell r="U43">
            <v>780</v>
          </cell>
          <cell r="V43">
            <v>159900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481</v>
          </cell>
          <cell r="U48">
            <v>680</v>
          </cell>
          <cell r="V48">
            <v>327080</v>
          </cell>
        </row>
        <row r="49">
          <cell r="D49">
            <v>4708</v>
          </cell>
          <cell r="U49">
            <v>2060</v>
          </cell>
          <cell r="V49">
            <v>9698480</v>
          </cell>
        </row>
        <row r="50">
          <cell r="D50">
            <v>67</v>
          </cell>
          <cell r="U50">
            <v>15480</v>
          </cell>
          <cell r="V50">
            <v>1037160</v>
          </cell>
        </row>
        <row r="51">
          <cell r="D51">
            <v>106</v>
          </cell>
          <cell r="U51">
            <v>35550</v>
          </cell>
          <cell r="V51">
            <v>3768300</v>
          </cell>
        </row>
        <row r="52">
          <cell r="D52">
            <v>10</v>
          </cell>
          <cell r="V52">
            <v>88700</v>
          </cell>
        </row>
        <row r="59">
          <cell r="D59">
            <v>5451</v>
          </cell>
          <cell r="U59">
            <v>34010</v>
          </cell>
          <cell r="V59">
            <v>185388510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205</v>
          </cell>
          <cell r="U62">
            <v>141410</v>
          </cell>
          <cell r="V62">
            <v>28989050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171</v>
          </cell>
          <cell r="U65">
            <v>68290</v>
          </cell>
          <cell r="V65">
            <v>11677590</v>
          </cell>
        </row>
        <row r="66">
          <cell r="D66">
            <v>143</v>
          </cell>
          <cell r="V66">
            <v>9765470</v>
          </cell>
        </row>
        <row r="67">
          <cell r="V67">
            <v>0</v>
          </cell>
        </row>
        <row r="68">
          <cell r="D68">
            <v>155</v>
          </cell>
          <cell r="U68">
            <v>61270</v>
          </cell>
          <cell r="V68">
            <v>9496850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D75">
            <v>4</v>
          </cell>
          <cell r="U75">
            <v>5040</v>
          </cell>
          <cell r="V75">
            <v>20160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30</v>
          </cell>
          <cell r="U79">
            <v>6600</v>
          </cell>
          <cell r="V79">
            <v>198000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28489450</v>
          </cell>
        </row>
        <row r="174">
          <cell r="V174">
            <v>35235350</v>
          </cell>
        </row>
        <row r="243">
          <cell r="V243">
            <v>3963900</v>
          </cell>
        </row>
        <row r="289">
          <cell r="V289">
            <v>0</v>
          </cell>
        </row>
        <row r="295">
          <cell r="V295">
            <v>8047610</v>
          </cell>
        </row>
        <row r="362">
          <cell r="V362">
            <v>12127130</v>
          </cell>
        </row>
        <row r="405">
          <cell r="V405">
            <v>176830</v>
          </cell>
        </row>
        <row r="428">
          <cell r="V428">
            <v>8527230</v>
          </cell>
        </row>
        <row r="446">
          <cell r="V446">
            <v>0</v>
          </cell>
        </row>
        <row r="456">
          <cell r="V456">
            <v>140020</v>
          </cell>
        </row>
        <row r="500">
          <cell r="V500">
            <v>3710330</v>
          </cell>
        </row>
        <row r="535">
          <cell r="V535">
            <v>25044360</v>
          </cell>
        </row>
        <row r="590">
          <cell r="V590">
            <v>203500</v>
          </cell>
        </row>
        <row r="615">
          <cell r="V615">
            <v>39524770</v>
          </cell>
        </row>
        <row r="633">
          <cell r="V633">
            <v>15175330</v>
          </cell>
        </row>
        <row r="634">
          <cell r="V634">
            <v>550200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775</v>
          </cell>
          <cell r="V768">
            <v>5588660</v>
          </cell>
        </row>
        <row r="783">
          <cell r="V783">
            <v>0</v>
          </cell>
        </row>
        <row r="795">
          <cell r="D795">
            <v>298</v>
          </cell>
          <cell r="U795">
            <v>7110</v>
          </cell>
          <cell r="V795">
            <v>2118780</v>
          </cell>
        </row>
        <row r="796">
          <cell r="D796">
            <v>308</v>
          </cell>
          <cell r="U796">
            <v>2780</v>
          </cell>
          <cell r="V796">
            <v>856240</v>
          </cell>
        </row>
        <row r="797">
          <cell r="D797">
            <v>592</v>
          </cell>
          <cell r="U797">
            <v>2780</v>
          </cell>
          <cell r="V797">
            <v>1645760</v>
          </cell>
        </row>
        <row r="798">
          <cell r="D798">
            <v>6</v>
          </cell>
          <cell r="U798">
            <v>11080</v>
          </cell>
          <cell r="V798">
            <v>66480</v>
          </cell>
        </row>
        <row r="799">
          <cell r="D799">
            <v>74</v>
          </cell>
          <cell r="U799">
            <v>12980</v>
          </cell>
          <cell r="V799">
            <v>960520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15</v>
          </cell>
          <cell r="U805">
            <v>14690</v>
          </cell>
          <cell r="V805">
            <v>220350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19009850</v>
          </cell>
        </row>
        <row r="961">
          <cell r="V961">
            <v>1301525</v>
          </cell>
        </row>
        <row r="1036">
          <cell r="D1036">
            <v>1</v>
          </cell>
          <cell r="U1036">
            <v>9390</v>
          </cell>
          <cell r="V1036">
            <v>9390</v>
          </cell>
        </row>
        <row r="1037">
          <cell r="V1037">
            <v>813570</v>
          </cell>
        </row>
        <row r="1098">
          <cell r="V1098">
            <v>2697730</v>
          </cell>
        </row>
        <row r="1166">
          <cell r="V1166">
            <v>2311755</v>
          </cell>
        </row>
        <row r="1197">
          <cell r="D1197">
            <v>461</v>
          </cell>
          <cell r="U1197">
            <v>5030</v>
          </cell>
          <cell r="V1197">
            <v>2318830</v>
          </cell>
        </row>
        <row r="1198">
          <cell r="D1198">
            <v>39</v>
          </cell>
          <cell r="U1198">
            <v>14180</v>
          </cell>
          <cell r="V1198">
            <v>553020</v>
          </cell>
        </row>
        <row r="1199">
          <cell r="D1199">
            <v>63</v>
          </cell>
          <cell r="U1199">
            <v>24050</v>
          </cell>
          <cell r="V1199">
            <v>1515150</v>
          </cell>
        </row>
        <row r="1200">
          <cell r="U1200">
            <v>45920</v>
          </cell>
          <cell r="V1200">
            <v>0</v>
          </cell>
        </row>
        <row r="1201">
          <cell r="D1201">
            <v>138</v>
          </cell>
          <cell r="U1201">
            <v>51180</v>
          </cell>
          <cell r="V1201">
            <v>7062840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128680</v>
          </cell>
        </row>
        <row r="1287">
          <cell r="V1287">
            <v>647250</v>
          </cell>
        </row>
        <row r="1354">
          <cell r="D1354">
            <v>74</v>
          </cell>
          <cell r="U1354">
            <v>34730</v>
          </cell>
          <cell r="V1354">
            <v>2570020</v>
          </cell>
        </row>
        <row r="1355">
          <cell r="U1355">
            <v>41890</v>
          </cell>
          <cell r="V1355">
            <v>0</v>
          </cell>
        </row>
        <row r="1356">
          <cell r="D1356">
            <v>24</v>
          </cell>
          <cell r="U1356">
            <v>44620</v>
          </cell>
          <cell r="V1356">
            <v>1070880</v>
          </cell>
        </row>
        <row r="1357">
          <cell r="V1357">
            <v>34584907.5</v>
          </cell>
        </row>
        <row r="1441">
          <cell r="V1441">
            <v>716870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6255600</v>
          </cell>
        </row>
        <row r="1574">
          <cell r="V1574">
            <v>8030560</v>
          </cell>
        </row>
        <row r="1592">
          <cell r="V1592">
            <v>1245930</v>
          </cell>
        </row>
        <row r="1597">
          <cell r="V1597">
            <v>8538477.5</v>
          </cell>
        </row>
        <row r="1631">
          <cell r="V1631">
            <v>7255740</v>
          </cell>
        </row>
        <row r="1632">
          <cell r="V1632">
            <v>0</v>
          </cell>
        </row>
        <row r="1633">
          <cell r="D1633">
            <v>22</v>
          </cell>
          <cell r="V1633">
            <v>2208580</v>
          </cell>
        </row>
        <row r="1634">
          <cell r="D1634">
            <v>38</v>
          </cell>
          <cell r="V1634">
            <v>5047160</v>
          </cell>
        </row>
        <row r="1635">
          <cell r="V1635">
            <v>0</v>
          </cell>
        </row>
        <row r="1636">
          <cell r="D1636">
            <v>69</v>
          </cell>
          <cell r="U1636">
            <v>132810</v>
          </cell>
          <cell r="V1636">
            <v>9163890</v>
          </cell>
        </row>
        <row r="1637">
          <cell r="D1637">
            <v>2</v>
          </cell>
          <cell r="U1637">
            <v>139740</v>
          </cell>
          <cell r="V1637">
            <v>279480</v>
          </cell>
        </row>
        <row r="1639">
          <cell r="V1639">
            <v>7779305</v>
          </cell>
        </row>
        <row r="1845">
          <cell r="D1845">
            <v>4</v>
          </cell>
          <cell r="F1845">
            <v>1</v>
          </cell>
          <cell r="G1845">
            <v>0</v>
          </cell>
          <cell r="V1845">
            <v>305335</v>
          </cell>
        </row>
        <row r="1849">
          <cell r="D1849">
            <v>25</v>
          </cell>
          <cell r="V1849">
            <v>1749910</v>
          </cell>
        </row>
        <row r="1861">
          <cell r="D1861">
            <v>36</v>
          </cell>
          <cell r="U1861">
            <v>28810</v>
          </cell>
          <cell r="V1861">
            <v>1037160</v>
          </cell>
        </row>
        <row r="1863">
          <cell r="D1863">
            <v>222</v>
          </cell>
          <cell r="U1863">
            <v>18980</v>
          </cell>
          <cell r="V1863">
            <v>4213560</v>
          </cell>
        </row>
        <row r="1864">
          <cell r="D1864">
            <v>187</v>
          </cell>
          <cell r="U1864">
            <v>59710</v>
          </cell>
          <cell r="V1864">
            <v>11165770</v>
          </cell>
        </row>
        <row r="1865">
          <cell r="U1865">
            <v>74020</v>
          </cell>
          <cell r="V1865">
            <v>0</v>
          </cell>
        </row>
        <row r="1866">
          <cell r="D1866">
            <v>186</v>
          </cell>
          <cell r="U1866">
            <v>2600</v>
          </cell>
          <cell r="V1866">
            <v>483600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4079500</v>
          </cell>
        </row>
        <row r="1889">
          <cell r="V1889">
            <v>6443060</v>
          </cell>
        </row>
        <row r="1914">
          <cell r="V1914">
            <v>2814260</v>
          </cell>
        </row>
        <row r="1941">
          <cell r="D1941">
            <v>80</v>
          </cell>
          <cell r="U1941">
            <v>19890</v>
          </cell>
          <cell r="V1941">
            <v>1591200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113</v>
          </cell>
          <cell r="U1981">
            <v>36070</v>
          </cell>
          <cell r="V1981">
            <v>4075910</v>
          </cell>
        </row>
        <row r="1983">
          <cell r="D1983">
            <v>3</v>
          </cell>
          <cell r="U1983">
            <v>7100</v>
          </cell>
          <cell r="V1983">
            <v>21300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2015</v>
          </cell>
        </row>
        <row r="11">
          <cell r="B11" t="str">
            <v>Dr. Francisco Martínez Cavalla</v>
          </cell>
        </row>
        <row r="12">
          <cell r="A12" t="str">
            <v>Jefe de Estadisticas</v>
          </cell>
          <cell r="B12" t="str">
            <v>Sra. María Inés Núñez González</v>
          </cell>
        </row>
      </sheetData>
      <sheetData sheetId="1"/>
      <sheetData sheetId="2">
        <row r="12">
          <cell r="D12">
            <v>66522</v>
          </cell>
        </row>
        <row r="13">
          <cell r="D13">
            <v>26260</v>
          </cell>
        </row>
        <row r="14">
          <cell r="D14">
            <v>28280</v>
          </cell>
        </row>
        <row r="15">
          <cell r="D15">
            <v>1043</v>
          </cell>
        </row>
        <row r="16">
          <cell r="D16">
            <v>0</v>
          </cell>
        </row>
        <row r="17">
          <cell r="D17">
            <v>1744</v>
          </cell>
        </row>
        <row r="18">
          <cell r="D18">
            <v>6268</v>
          </cell>
        </row>
        <row r="19">
          <cell r="D19">
            <v>4587</v>
          </cell>
        </row>
        <row r="20">
          <cell r="D20">
            <v>51</v>
          </cell>
        </row>
        <row r="21">
          <cell r="D21">
            <v>1630</v>
          </cell>
        </row>
        <row r="22">
          <cell r="D22">
            <v>0</v>
          </cell>
        </row>
        <row r="23">
          <cell r="D23">
            <v>42</v>
          </cell>
        </row>
        <row r="24">
          <cell r="D24">
            <v>2885</v>
          </cell>
        </row>
        <row r="25">
          <cell r="D25">
            <v>4513</v>
          </cell>
        </row>
        <row r="26">
          <cell r="D26">
            <v>3028</v>
          </cell>
        </row>
        <row r="27">
          <cell r="D27">
            <v>6</v>
          </cell>
        </row>
        <row r="28">
          <cell r="D28">
            <v>856</v>
          </cell>
        </row>
        <row r="30">
          <cell r="D30">
            <v>329</v>
          </cell>
        </row>
        <row r="31">
          <cell r="D31">
            <v>118</v>
          </cell>
        </row>
        <row r="32">
          <cell r="D32">
            <v>176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2</v>
          </cell>
          <cell r="G68">
            <v>0</v>
          </cell>
          <cell r="H68">
            <v>0</v>
          </cell>
        </row>
        <row r="69">
          <cell r="F69">
            <v>124</v>
          </cell>
          <cell r="G69">
            <v>0</v>
          </cell>
          <cell r="H69">
            <v>0</v>
          </cell>
        </row>
        <row r="70">
          <cell r="F70">
            <v>15</v>
          </cell>
          <cell r="G70">
            <v>1</v>
          </cell>
          <cell r="H70">
            <v>1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35</v>
          </cell>
          <cell r="G72">
            <v>3</v>
          </cell>
          <cell r="H72">
            <v>2</v>
          </cell>
        </row>
        <row r="73">
          <cell r="F73">
            <v>71</v>
          </cell>
          <cell r="G73">
            <v>0</v>
          </cell>
          <cell r="H73">
            <v>0</v>
          </cell>
        </row>
        <row r="74">
          <cell r="F74">
            <v>3</v>
          </cell>
          <cell r="G74">
            <v>0</v>
          </cell>
          <cell r="H74">
            <v>0</v>
          </cell>
        </row>
        <row r="75">
          <cell r="F75">
            <v>2</v>
          </cell>
          <cell r="G75">
            <v>0</v>
          </cell>
          <cell r="H75">
            <v>0</v>
          </cell>
        </row>
        <row r="76">
          <cell r="F76">
            <v>134</v>
          </cell>
          <cell r="G76">
            <v>10</v>
          </cell>
          <cell r="H76">
            <v>1</v>
          </cell>
        </row>
        <row r="77">
          <cell r="F77">
            <v>11</v>
          </cell>
          <cell r="G77">
            <v>1</v>
          </cell>
          <cell r="H77">
            <v>0</v>
          </cell>
        </row>
        <row r="78">
          <cell r="F78">
            <v>22</v>
          </cell>
          <cell r="G78">
            <v>1</v>
          </cell>
          <cell r="H78">
            <v>0</v>
          </cell>
        </row>
        <row r="79">
          <cell r="F79">
            <v>9</v>
          </cell>
          <cell r="G79">
            <v>0</v>
          </cell>
          <cell r="H79">
            <v>0</v>
          </cell>
        </row>
        <row r="80">
          <cell r="F80">
            <v>41</v>
          </cell>
          <cell r="G80">
            <v>1</v>
          </cell>
          <cell r="H80">
            <v>0</v>
          </cell>
        </row>
        <row r="81">
          <cell r="F81">
            <v>55</v>
          </cell>
          <cell r="G81">
            <v>0</v>
          </cell>
          <cell r="H81">
            <v>0</v>
          </cell>
        </row>
        <row r="82">
          <cell r="F82">
            <v>50</v>
          </cell>
          <cell r="G82">
            <v>1</v>
          </cell>
          <cell r="H82">
            <v>0</v>
          </cell>
        </row>
        <row r="130">
          <cell r="E130">
            <v>1299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5874</v>
          </cell>
          <cell r="U15">
            <v>11590</v>
          </cell>
          <cell r="V15">
            <v>68079660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56</v>
          </cell>
          <cell r="U19">
            <v>14530</v>
          </cell>
          <cell r="V19">
            <v>813680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2041</v>
          </cell>
          <cell r="U23">
            <v>5860</v>
          </cell>
          <cell r="V23">
            <v>11960260</v>
          </cell>
        </row>
        <row r="24">
          <cell r="D24">
            <v>1116</v>
          </cell>
          <cell r="U24">
            <v>7020</v>
          </cell>
          <cell r="V24">
            <v>7834320</v>
          </cell>
        </row>
        <row r="25">
          <cell r="D25">
            <v>2586</v>
          </cell>
          <cell r="U25">
            <v>8710</v>
          </cell>
          <cell r="V25">
            <v>22524060</v>
          </cell>
        </row>
        <row r="27">
          <cell r="D27">
            <v>1994</v>
          </cell>
          <cell r="U27">
            <v>1140</v>
          </cell>
          <cell r="V27">
            <v>2273160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150</v>
          </cell>
          <cell r="U30">
            <v>1550</v>
          </cell>
          <cell r="V30">
            <v>232500</v>
          </cell>
        </row>
        <row r="31">
          <cell r="D31">
            <v>1497</v>
          </cell>
          <cell r="U31">
            <v>1250</v>
          </cell>
          <cell r="V31">
            <v>1871250</v>
          </cell>
        </row>
        <row r="32">
          <cell r="U32">
            <v>1140</v>
          </cell>
          <cell r="V32">
            <v>0</v>
          </cell>
        </row>
        <row r="34">
          <cell r="D34">
            <v>8</v>
          </cell>
          <cell r="U34">
            <v>3750</v>
          </cell>
          <cell r="V34">
            <v>30000</v>
          </cell>
        </row>
        <row r="35">
          <cell r="D35">
            <v>469</v>
          </cell>
          <cell r="U35">
            <v>2060</v>
          </cell>
          <cell r="V35">
            <v>966140</v>
          </cell>
        </row>
        <row r="36">
          <cell r="U36">
            <v>2060</v>
          </cell>
          <cell r="V36">
            <v>0</v>
          </cell>
        </row>
        <row r="37">
          <cell r="D37">
            <v>489</v>
          </cell>
          <cell r="U37">
            <v>630</v>
          </cell>
          <cell r="V37">
            <v>308070</v>
          </cell>
        </row>
        <row r="39">
          <cell r="D39">
            <v>143</v>
          </cell>
          <cell r="U39">
            <v>1780</v>
          </cell>
          <cell r="V39">
            <v>254540</v>
          </cell>
        </row>
        <row r="40">
          <cell r="D40">
            <v>49</v>
          </cell>
          <cell r="U40">
            <v>1780</v>
          </cell>
          <cell r="V40">
            <v>87220</v>
          </cell>
        </row>
        <row r="41">
          <cell r="D41">
            <v>161</v>
          </cell>
          <cell r="U41">
            <v>1030</v>
          </cell>
          <cell r="V41">
            <v>165830</v>
          </cell>
        </row>
        <row r="43">
          <cell r="D43">
            <v>233</v>
          </cell>
          <cell r="U43">
            <v>780</v>
          </cell>
          <cell r="V43">
            <v>181740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389</v>
          </cell>
          <cell r="U48">
            <v>680</v>
          </cell>
          <cell r="V48">
            <v>264520</v>
          </cell>
        </row>
        <row r="49">
          <cell r="D49">
            <v>4546</v>
          </cell>
          <cell r="U49">
            <v>2060</v>
          </cell>
          <cell r="V49">
            <v>9364760</v>
          </cell>
        </row>
        <row r="50">
          <cell r="D50">
            <v>67</v>
          </cell>
          <cell r="U50">
            <v>15480</v>
          </cell>
          <cell r="V50">
            <v>1037160</v>
          </cell>
        </row>
        <row r="51">
          <cell r="D51">
            <v>173</v>
          </cell>
          <cell r="U51">
            <v>35550</v>
          </cell>
          <cell r="V51">
            <v>6150150</v>
          </cell>
        </row>
        <row r="52">
          <cell r="D52">
            <v>8</v>
          </cell>
          <cell r="V52">
            <v>70960</v>
          </cell>
        </row>
        <row r="59">
          <cell r="D59">
            <v>5369</v>
          </cell>
          <cell r="U59">
            <v>34010</v>
          </cell>
          <cell r="V59">
            <v>182599690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237</v>
          </cell>
          <cell r="U62">
            <v>141410</v>
          </cell>
          <cell r="V62">
            <v>33514170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160</v>
          </cell>
          <cell r="U65">
            <v>68290</v>
          </cell>
          <cell r="V65">
            <v>10926400</v>
          </cell>
        </row>
        <row r="66">
          <cell r="D66">
            <v>143</v>
          </cell>
          <cell r="V66">
            <v>9765470</v>
          </cell>
        </row>
        <row r="67">
          <cell r="V67">
            <v>0</v>
          </cell>
        </row>
        <row r="68">
          <cell r="D68">
            <v>189</v>
          </cell>
          <cell r="U68">
            <v>61270</v>
          </cell>
          <cell r="V68">
            <v>11580030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U75">
            <v>5040</v>
          </cell>
          <cell r="V75">
            <v>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32</v>
          </cell>
          <cell r="U79">
            <v>6600</v>
          </cell>
          <cell r="V79">
            <v>211200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26745750</v>
          </cell>
        </row>
        <row r="174">
          <cell r="V174">
            <v>35285690</v>
          </cell>
        </row>
        <row r="243">
          <cell r="V243">
            <v>3732070</v>
          </cell>
        </row>
        <row r="289">
          <cell r="V289">
            <v>0</v>
          </cell>
        </row>
        <row r="295">
          <cell r="V295">
            <v>8303150</v>
          </cell>
        </row>
        <row r="362">
          <cell r="V362">
            <v>10545640</v>
          </cell>
        </row>
        <row r="405">
          <cell r="V405">
            <v>147360</v>
          </cell>
        </row>
        <row r="428">
          <cell r="V428">
            <v>6684860</v>
          </cell>
        </row>
        <row r="446">
          <cell r="V446">
            <v>0</v>
          </cell>
        </row>
        <row r="456">
          <cell r="V456">
            <v>82960</v>
          </cell>
        </row>
        <row r="500">
          <cell r="V500">
            <v>3789160</v>
          </cell>
        </row>
        <row r="535">
          <cell r="V535">
            <v>24809050</v>
          </cell>
        </row>
        <row r="590">
          <cell r="V590">
            <v>129380</v>
          </cell>
        </row>
        <row r="615">
          <cell r="V615">
            <v>45548620</v>
          </cell>
        </row>
        <row r="633">
          <cell r="V633">
            <v>8925650</v>
          </cell>
        </row>
        <row r="634">
          <cell r="V634">
            <v>618320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757</v>
          </cell>
          <cell r="V768">
            <v>4852780</v>
          </cell>
        </row>
        <row r="783">
          <cell r="V783">
            <v>0</v>
          </cell>
        </row>
        <row r="795">
          <cell r="D795">
            <v>294</v>
          </cell>
          <cell r="U795">
            <v>7110</v>
          </cell>
          <cell r="V795">
            <v>2090340</v>
          </cell>
        </row>
        <row r="796">
          <cell r="D796">
            <v>233</v>
          </cell>
          <cell r="U796">
            <v>2780</v>
          </cell>
          <cell r="V796">
            <v>647740</v>
          </cell>
        </row>
        <row r="797">
          <cell r="D797">
            <v>633</v>
          </cell>
          <cell r="U797">
            <v>2780</v>
          </cell>
          <cell r="V797">
            <v>1759740</v>
          </cell>
        </row>
        <row r="798">
          <cell r="D798">
            <v>7</v>
          </cell>
          <cell r="U798">
            <v>11080</v>
          </cell>
          <cell r="V798">
            <v>77560</v>
          </cell>
        </row>
        <row r="799">
          <cell r="D799">
            <v>14</v>
          </cell>
          <cell r="U799">
            <v>12980</v>
          </cell>
          <cell r="V799">
            <v>181720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18</v>
          </cell>
          <cell r="U805">
            <v>14690</v>
          </cell>
          <cell r="V805">
            <v>264420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307800</v>
          </cell>
        </row>
        <row r="882">
          <cell r="V882">
            <v>21912730</v>
          </cell>
        </row>
        <row r="961">
          <cell r="V961">
            <v>2058167.5</v>
          </cell>
        </row>
        <row r="1036">
          <cell r="D1036">
            <v>1</v>
          </cell>
          <cell r="U1036">
            <v>9390</v>
          </cell>
          <cell r="V1036">
            <v>9390</v>
          </cell>
        </row>
        <row r="1037">
          <cell r="V1037">
            <v>525320</v>
          </cell>
        </row>
        <row r="1098">
          <cell r="V1098">
            <v>1679765</v>
          </cell>
        </row>
        <row r="1166">
          <cell r="V1166">
            <v>1273400</v>
          </cell>
        </row>
        <row r="1197">
          <cell r="D1197">
            <v>617</v>
          </cell>
          <cell r="U1197">
            <v>5030</v>
          </cell>
          <cell r="V1197">
            <v>3103510</v>
          </cell>
        </row>
        <row r="1198">
          <cell r="D1198">
            <v>25</v>
          </cell>
          <cell r="U1198">
            <v>14180</v>
          </cell>
          <cell r="V1198">
            <v>354500</v>
          </cell>
        </row>
        <row r="1199">
          <cell r="D1199">
            <v>35</v>
          </cell>
          <cell r="U1199">
            <v>24050</v>
          </cell>
          <cell r="V1199">
            <v>841750</v>
          </cell>
        </row>
        <row r="1200">
          <cell r="U1200">
            <v>45920</v>
          </cell>
          <cell r="V1200">
            <v>0</v>
          </cell>
        </row>
        <row r="1201">
          <cell r="D1201">
            <v>118</v>
          </cell>
          <cell r="U1201">
            <v>51180</v>
          </cell>
          <cell r="V1201">
            <v>6039240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297540</v>
          </cell>
        </row>
        <row r="1287">
          <cell r="V1287">
            <v>108380</v>
          </cell>
        </row>
        <row r="1354">
          <cell r="D1354">
            <v>68</v>
          </cell>
          <cell r="U1354">
            <v>34730</v>
          </cell>
          <cell r="V1354">
            <v>2361640</v>
          </cell>
        </row>
        <row r="1355">
          <cell r="U1355">
            <v>41890</v>
          </cell>
          <cell r="V1355">
            <v>0</v>
          </cell>
        </row>
        <row r="1356">
          <cell r="D1356">
            <v>8</v>
          </cell>
          <cell r="U1356">
            <v>44620</v>
          </cell>
          <cell r="V1356">
            <v>356960</v>
          </cell>
        </row>
        <row r="1357">
          <cell r="V1357">
            <v>33333185</v>
          </cell>
        </row>
        <row r="1441">
          <cell r="V1441">
            <v>1245840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4933250</v>
          </cell>
        </row>
        <row r="1574">
          <cell r="V1574">
            <v>11194540</v>
          </cell>
        </row>
        <row r="1592">
          <cell r="V1592">
            <v>2186310</v>
          </cell>
        </row>
        <row r="1597">
          <cell r="V1597">
            <v>8573975</v>
          </cell>
        </row>
        <row r="1631">
          <cell r="V1631">
            <v>6721360</v>
          </cell>
        </row>
        <row r="1632">
          <cell r="V1632">
            <v>0</v>
          </cell>
        </row>
        <row r="1633">
          <cell r="D1633">
            <v>18</v>
          </cell>
          <cell r="V1633">
            <v>1807020</v>
          </cell>
        </row>
        <row r="1634">
          <cell r="D1634">
            <v>37</v>
          </cell>
          <cell r="V1634">
            <v>4914340</v>
          </cell>
        </row>
        <row r="1635">
          <cell r="V1635">
            <v>0</v>
          </cell>
        </row>
        <row r="1636">
          <cell r="D1636">
            <v>81</v>
          </cell>
          <cell r="U1636">
            <v>132810</v>
          </cell>
          <cell r="V1636">
            <v>10757610</v>
          </cell>
        </row>
        <row r="1637">
          <cell r="D1637">
            <v>6</v>
          </cell>
          <cell r="U1637">
            <v>139740</v>
          </cell>
          <cell r="V1637">
            <v>838440</v>
          </cell>
        </row>
        <row r="1639">
          <cell r="V1639">
            <v>9548705</v>
          </cell>
        </row>
        <row r="1845">
          <cell r="D1845">
            <v>6</v>
          </cell>
          <cell r="F1845">
            <v>0</v>
          </cell>
          <cell r="G1845">
            <v>0</v>
          </cell>
          <cell r="V1845">
            <v>333300</v>
          </cell>
        </row>
        <row r="1849">
          <cell r="D1849">
            <v>22</v>
          </cell>
          <cell r="V1849">
            <v>1563480</v>
          </cell>
        </row>
        <row r="1861">
          <cell r="D1861">
            <v>45</v>
          </cell>
          <cell r="U1861">
            <v>28810</v>
          </cell>
          <cell r="V1861">
            <v>1296450</v>
          </cell>
        </row>
        <row r="1863">
          <cell r="D1863">
            <v>197</v>
          </cell>
          <cell r="U1863">
            <v>18980</v>
          </cell>
          <cell r="V1863">
            <v>3739060</v>
          </cell>
        </row>
        <row r="1864">
          <cell r="D1864">
            <v>167</v>
          </cell>
          <cell r="U1864">
            <v>59710</v>
          </cell>
          <cell r="V1864">
            <v>9971570</v>
          </cell>
        </row>
        <row r="1865">
          <cell r="U1865">
            <v>74020</v>
          </cell>
          <cell r="V1865">
            <v>0</v>
          </cell>
        </row>
        <row r="1866">
          <cell r="D1866">
            <v>170</v>
          </cell>
          <cell r="U1866">
            <v>2600</v>
          </cell>
          <cell r="V1866">
            <v>442000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4638690</v>
          </cell>
        </row>
        <row r="1889">
          <cell r="V1889">
            <v>7185030</v>
          </cell>
        </row>
        <row r="1914">
          <cell r="V1914">
            <v>3263820</v>
          </cell>
        </row>
        <row r="1941">
          <cell r="D1941">
            <v>208</v>
          </cell>
          <cell r="U1941">
            <v>19890</v>
          </cell>
          <cell r="V1941">
            <v>4137120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94</v>
          </cell>
          <cell r="U1981">
            <v>36070</v>
          </cell>
          <cell r="V1981">
            <v>3390580</v>
          </cell>
        </row>
        <row r="1983">
          <cell r="D1983">
            <v>3</v>
          </cell>
          <cell r="U1983">
            <v>7100</v>
          </cell>
          <cell r="V1983">
            <v>21300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tabSelected="1" workbookViewId="0">
      <selection activeCell="B24" sqref="B24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42" t="s">
        <v>1</v>
      </c>
      <c r="D1" s="743"/>
      <c r="E1" s="744"/>
      <c r="F1" s="3"/>
    </row>
    <row r="2" spans="1:7" ht="12.75" x14ac:dyDescent="0.2">
      <c r="A2" s="1" t="str">
        <f>CONCATENATE("COMUNA: ",[1]NOMBRE!B2," - ","( ",[1]NOMBRE!C2,[1]NOMBRE!D2,[1]NOMBRE!E2,[1]NOMBRE!F2,[1]NOMBRE!G2," )")</f>
        <v>COMUNA:  - (  )</v>
      </c>
      <c r="B2" s="2"/>
      <c r="C2" s="739"/>
      <c r="D2" s="740"/>
      <c r="E2" s="741"/>
      <c r="F2" s="5"/>
      <c r="G2" s="6"/>
    </row>
    <row r="3" spans="1:7" ht="12.75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42" t="s">
        <v>2</v>
      </c>
      <c r="D3" s="743"/>
      <c r="E3" s="744"/>
      <c r="F3" s="5"/>
      <c r="G3" s="7"/>
    </row>
    <row r="4" spans="1:7" ht="12.75" x14ac:dyDescent="0.2">
      <c r="A4" s="1" t="str">
        <f>CONCATENATE("MES: ",[1]NOMBRE!B6," - ","( ",[1]NOMBRE!C6,[1]NOMBRE!D6," )")</f>
        <v>MES:  - (  )</v>
      </c>
      <c r="B4" s="2"/>
      <c r="C4" s="739" t="str">
        <f>CONCATENATE([1]NOMBRE!B6," ","( ",[1]NOMBRE!C6,[1]NOMBRE!D6," )")</f>
        <v xml:space="preserve"> (  )</v>
      </c>
      <c r="D4" s="740"/>
      <c r="E4" s="741"/>
      <c r="F4" s="5"/>
      <c r="G4" s="7"/>
    </row>
    <row r="5" spans="1:7" ht="12.75" x14ac:dyDescent="0.2">
      <c r="A5" s="1" t="str">
        <f>CONCATENATE("AÑO: ",[1]NOMBRE!B7)</f>
        <v>AÑO: 2015</v>
      </c>
      <c r="B5" s="2"/>
      <c r="C5" s="742" t="s">
        <v>3</v>
      </c>
      <c r="D5" s="743"/>
      <c r="E5" s="744"/>
      <c r="F5" s="5"/>
      <c r="G5" s="7"/>
    </row>
    <row r="6" spans="1:7" ht="12.75" x14ac:dyDescent="0.2">
      <c r="A6" s="8"/>
      <c r="B6" s="8"/>
      <c r="C6" s="739">
        <f>[1]NOMBRE!B7</f>
        <v>2015</v>
      </c>
      <c r="D6" s="740"/>
      <c r="E6" s="741"/>
      <c r="F6" s="5"/>
      <c r="G6" s="7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5"/>
      <c r="G7" s="7"/>
    </row>
    <row r="8" spans="1:7" ht="15" x14ac:dyDescent="0.2">
      <c r="A8" s="8"/>
      <c r="B8" s="9" t="s">
        <v>6</v>
      </c>
      <c r="C8" s="739" t="str">
        <f>CONCATENATE([1]NOMBRE!B3," ","( ",[1]NOMBRE!C3,[1]NOMBRE!D3,[1]NOMBRE!E3,[1]NOMBRE!F3,[1]NOMBRE!G3," )")</f>
        <v xml:space="preserve"> (  )</v>
      </c>
      <c r="D8" s="740"/>
      <c r="E8" s="741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53" t="s">
        <v>7</v>
      </c>
      <c r="B11" s="754"/>
      <c r="C11" s="754"/>
      <c r="D11" s="754"/>
      <c r="E11" s="755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8"/>
    </row>
    <row r="14" spans="1:7" ht="15" customHeight="1" x14ac:dyDescent="0.2">
      <c r="A14" s="17" t="s">
        <v>14</v>
      </c>
      <c r="B14" s="18" t="s">
        <v>15</v>
      </c>
      <c r="C14" s="19">
        <f>[1]BS17A!$D13</f>
        <v>0</v>
      </c>
      <c r="D14" s="20">
        <f>[1]BS17A!$U13</f>
        <v>4300</v>
      </c>
      <c r="E14" s="21">
        <f>[1]BS17A!$V13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[1]BS17A!$D14</f>
        <v>0</v>
      </c>
      <c r="D15" s="24">
        <f>[1]BS17A!$U14</f>
        <v>5400</v>
      </c>
      <c r="E15" s="25">
        <f>[1]BS17A!$V14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[1]BS17A!$D15</f>
        <v>0</v>
      </c>
      <c r="D16" s="24">
        <f>[1]BS17A!$U15</f>
        <v>11590</v>
      </c>
      <c r="E16" s="25">
        <f>[1]BS17A!$V15</f>
        <v>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[1]BS17A!$D16</f>
        <v>0</v>
      </c>
      <c r="D17" s="24">
        <f>[1]BS17A!$U16</f>
        <v>6920</v>
      </c>
      <c r="E17" s="25">
        <f>[1]BS17A!$V16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[1]BS17A!$D17</f>
        <v>0</v>
      </c>
      <c r="D18" s="24">
        <f>[1]BS17A!$U17</f>
        <v>7590</v>
      </c>
      <c r="E18" s="25">
        <f>[1]BS17A!$V17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[1]BS17A!$D20</f>
        <v>0</v>
      </c>
      <c r="D19" s="24">
        <f>[1]BS17A!$U20</f>
        <v>5860</v>
      </c>
      <c r="E19" s="25">
        <f>[1]BS17A!$V20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[1]BS17A!$D21</f>
        <v>0</v>
      </c>
      <c r="D20" s="24">
        <f>[1]BS17A!$U21</f>
        <v>7020</v>
      </c>
      <c r="E20" s="25">
        <f>[1]BS17A!$V21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[1]BS17A!$D22</f>
        <v>0</v>
      </c>
      <c r="D21" s="24">
        <f>[1]BS17A!$U22</f>
        <v>8710</v>
      </c>
      <c r="E21" s="25">
        <f>[1]BS17A!$V22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[1]BS17A!$D23</f>
        <v>0</v>
      </c>
      <c r="D22" s="24">
        <f>[1]BS17A!$U23</f>
        <v>5860</v>
      </c>
      <c r="E22" s="25">
        <f>[1]BS17A!$V23</f>
        <v>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[1]BS17A!$D24</f>
        <v>0</v>
      </c>
      <c r="D23" s="24">
        <f>[1]BS17A!$U24</f>
        <v>7020</v>
      </c>
      <c r="E23" s="25">
        <f>[1]BS17A!$V24</f>
        <v>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[1]BS17A!$D25</f>
        <v>0</v>
      </c>
      <c r="D24" s="24">
        <f>[1]BS17A!$U25</f>
        <v>8710</v>
      </c>
      <c r="E24" s="25">
        <f>[1]BS17A!$V25</f>
        <v>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+[1]BS17A!$D795</f>
        <v>0</v>
      </c>
      <c r="D25" s="24">
        <f>+[1]BS17A!$U795</f>
        <v>7110</v>
      </c>
      <c r="E25" s="25">
        <f>+[1]BS17A!$V795</f>
        <v>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+[1]BS17A!$D800</f>
        <v>0</v>
      </c>
      <c r="D26" s="31">
        <f>+[1]BS17A!$U800</f>
        <v>29440</v>
      </c>
      <c r="E26" s="32">
        <f>+[1]BS17A!$V800</f>
        <v>0</v>
      </c>
      <c r="F26" s="8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8"/>
    </row>
    <row r="28" spans="1:6" ht="15" customHeight="1" x14ac:dyDescent="0.2">
      <c r="A28" s="17" t="s">
        <v>41</v>
      </c>
      <c r="B28" s="18" t="s">
        <v>42</v>
      </c>
      <c r="C28" s="33">
        <f>[1]BS17A!$D27</f>
        <v>0</v>
      </c>
      <c r="D28" s="20">
        <f>[1]BS17A!$U27</f>
        <v>1140</v>
      </c>
      <c r="E28" s="21">
        <f>[1]BS17A!$V27</f>
        <v>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[1]BS17A!$D28</f>
        <v>0</v>
      </c>
      <c r="D29" s="24">
        <f>[1]BS17A!$U28</f>
        <v>1960</v>
      </c>
      <c r="E29" s="25">
        <f>[1]BS17A!$V28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[1]BS17A!$D29</f>
        <v>0</v>
      </c>
      <c r="D30" s="24">
        <f>[1]BS17A!$U29</f>
        <v>630</v>
      </c>
      <c r="E30" s="25">
        <f>[1]BS17A!$V29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[1]BS17A!$D30</f>
        <v>0</v>
      </c>
      <c r="D31" s="24">
        <f>[1]BS17A!$U30</f>
        <v>1550</v>
      </c>
      <c r="E31" s="25">
        <f>[1]BS17A!$V30</f>
        <v>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[1]BS17A!$D31</f>
        <v>0</v>
      </c>
      <c r="D32" s="24">
        <f>[1]BS17A!$U31</f>
        <v>1250</v>
      </c>
      <c r="E32" s="25">
        <f>[1]BS17A!$V31</f>
        <v>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[1]BS17A!$D32</f>
        <v>0</v>
      </c>
      <c r="D33" s="24">
        <f>[1]BS17A!$U32</f>
        <v>1140</v>
      </c>
      <c r="E33" s="25">
        <f>[1]BS17A!$V32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+[1]BS17A!$D796</f>
        <v>0</v>
      </c>
      <c r="D34" s="24">
        <f>+[1]BS17A!$U796</f>
        <v>2780</v>
      </c>
      <c r="E34" s="25">
        <f>+[1]BS17A!$V796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+[1]BS17A!$D797</f>
        <v>0</v>
      </c>
      <c r="D35" s="24">
        <f>+[1]BS17A!$U797</f>
        <v>2780</v>
      </c>
      <c r="E35" s="25">
        <f>+[1]BS17A!$V797</f>
        <v>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+[1]BS17A!$D798</f>
        <v>0</v>
      </c>
      <c r="D36" s="24">
        <f>+[1]BS17A!$U798</f>
        <v>11080</v>
      </c>
      <c r="E36" s="25">
        <f>+[1]BS17A!$V798</f>
        <v>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+[1]BS17A!$D799</f>
        <v>0</v>
      </c>
      <c r="D37" s="31">
        <f>+[1]BS17A!$U799</f>
        <v>12980</v>
      </c>
      <c r="E37" s="32">
        <f>+[1]BS17A!$V799</f>
        <v>0</v>
      </c>
      <c r="F37" s="8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8"/>
    </row>
    <row r="39" spans="1:6" ht="15" customHeight="1" x14ac:dyDescent="0.2">
      <c r="A39" s="17" t="s">
        <v>62</v>
      </c>
      <c r="B39" s="36" t="s">
        <v>63</v>
      </c>
      <c r="C39" s="33">
        <f>+[1]BS17A!$D801</f>
        <v>0</v>
      </c>
      <c r="D39" s="37">
        <f>+[1]BS17A!$U801</f>
        <v>3657</v>
      </c>
      <c r="E39" s="38">
        <f>+[1]BS17A!$V801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+[1]BS17A!$D802</f>
        <v>0</v>
      </c>
      <c r="D40" s="40">
        <f>+[1]BS17A!$U802</f>
        <v>9455</v>
      </c>
      <c r="E40" s="41">
        <f>+[1]BS17A!$V802</f>
        <v>0</v>
      </c>
      <c r="F40" s="8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8"/>
    </row>
    <row r="42" spans="1:6" ht="15" customHeight="1" x14ac:dyDescent="0.2">
      <c r="A42" s="17" t="s">
        <v>67</v>
      </c>
      <c r="B42" s="42" t="s">
        <v>68</v>
      </c>
      <c r="C42" s="33">
        <f>+[1]BS17A!$D34</f>
        <v>0</v>
      </c>
      <c r="D42" s="37">
        <f>+[1]BS17A!$U34</f>
        <v>3750</v>
      </c>
      <c r="E42" s="38">
        <f>+[1]BS17A!$V34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+[1]BS17A!$D35</f>
        <v>0</v>
      </c>
      <c r="D43" s="24">
        <f>+[1]BS17A!$U35</f>
        <v>2060</v>
      </c>
      <c r="E43" s="25">
        <f>+[1]BS17A!$V35</f>
        <v>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+[1]BS17A!$D36</f>
        <v>0</v>
      </c>
      <c r="D44" s="24">
        <f>+[1]BS17A!$U36</f>
        <v>2060</v>
      </c>
      <c r="E44" s="25">
        <f>+[1]BS17A!$V36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+[1]BS17A!$D37</f>
        <v>0</v>
      </c>
      <c r="D45" s="40">
        <f>+[1]BS17A!$U37</f>
        <v>630</v>
      </c>
      <c r="E45" s="41">
        <f>+[1]BS17A!$V37</f>
        <v>0</v>
      </c>
      <c r="F45" s="8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8"/>
    </row>
    <row r="47" spans="1:6" ht="15" customHeight="1" x14ac:dyDescent="0.2">
      <c r="A47" s="17" t="s">
        <v>76</v>
      </c>
      <c r="B47" s="42" t="s">
        <v>77</v>
      </c>
      <c r="C47" s="33">
        <f>+[1]BS17A!$D39</f>
        <v>0</v>
      </c>
      <c r="D47" s="37">
        <f>+[1]BS17A!$U39</f>
        <v>1780</v>
      </c>
      <c r="E47" s="38">
        <f>+[1]BS17A!$V39</f>
        <v>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+[1]BS17A!$D40</f>
        <v>0</v>
      </c>
      <c r="D48" s="24">
        <f>+[1]BS17A!$U40</f>
        <v>1780</v>
      </c>
      <c r="E48" s="25">
        <f>+[1]BS17A!$V40</f>
        <v>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+[1]BS17A!$D41</f>
        <v>0</v>
      </c>
      <c r="D49" s="40">
        <f>+[1]BS17A!$U41</f>
        <v>1030</v>
      </c>
      <c r="E49" s="41">
        <f>+[1]BS17A!$V41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0</v>
      </c>
      <c r="D50" s="46"/>
      <c r="E50" s="47">
        <f>SUM(E14:E49)</f>
        <v>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9" t="s">
        <v>83</v>
      </c>
      <c r="B53" s="760"/>
      <c r="C53" s="760"/>
      <c r="D53" s="760"/>
      <c r="E53" s="761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+[1]BS17!$D12</f>
        <v>0</v>
      </c>
      <c r="D55" s="57"/>
      <c r="E55" s="58">
        <f>+E56+E57+E58+E59+E60+E61+E65+E66+E67</f>
        <v>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+[1]BS17!$D13</f>
        <v>0</v>
      </c>
      <c r="D56" s="61"/>
      <c r="E56" s="62">
        <f>+[1]BS17A!V83</f>
        <v>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+[1]BS17!$D14</f>
        <v>0</v>
      </c>
      <c r="D57" s="63"/>
      <c r="E57" s="64">
        <f>+[1]BS17A!V174</f>
        <v>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+[1]BS17!$D15</f>
        <v>0</v>
      </c>
      <c r="D58" s="63"/>
      <c r="E58" s="64">
        <f>+[1]BS17A!V243</f>
        <v>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+[1]BS17!$D16</f>
        <v>0</v>
      </c>
      <c r="D59" s="63"/>
      <c r="E59" s="64">
        <f>+[1]BS17A!V289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+[1]BS17!$D17</f>
        <v>0</v>
      </c>
      <c r="D60" s="67"/>
      <c r="E60" s="68">
        <f>+[1]BS17A!V295</f>
        <v>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+[1]BS17!$D18</f>
        <v>0</v>
      </c>
      <c r="D61" s="71"/>
      <c r="E61" s="72">
        <f>SUM(E62:E64)</f>
        <v>0</v>
      </c>
      <c r="F61" s="8"/>
    </row>
    <row r="62" spans="1:7" ht="15" customHeight="1" x14ac:dyDescent="0.2">
      <c r="A62" s="73"/>
      <c r="B62" s="42" t="s">
        <v>99</v>
      </c>
      <c r="C62" s="33">
        <f>+[1]BS17!$D19</f>
        <v>0</v>
      </c>
      <c r="D62" s="74"/>
      <c r="E62" s="75">
        <f>+[1]BS17A!V362</f>
        <v>0</v>
      </c>
      <c r="F62" s="8"/>
    </row>
    <row r="63" spans="1:7" ht="15" customHeight="1" x14ac:dyDescent="0.2">
      <c r="A63" s="73"/>
      <c r="B63" s="27" t="s">
        <v>100</v>
      </c>
      <c r="C63" s="19">
        <f>+[1]BS17!$D20</f>
        <v>0</v>
      </c>
      <c r="D63" s="63"/>
      <c r="E63" s="64">
        <f>+[1]BS17A!V405</f>
        <v>0</v>
      </c>
      <c r="F63" s="8"/>
    </row>
    <row r="64" spans="1:7" ht="15" customHeight="1" x14ac:dyDescent="0.2">
      <c r="A64" s="76"/>
      <c r="B64" s="43" t="s">
        <v>101</v>
      </c>
      <c r="C64" s="30">
        <f>+[1]BS17!$D21</f>
        <v>0</v>
      </c>
      <c r="D64" s="77"/>
      <c r="E64" s="78">
        <f>+[1]BS17A!V428</f>
        <v>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+[1]BS17!$D22</f>
        <v>0</v>
      </c>
      <c r="D65" s="61"/>
      <c r="E65" s="62">
        <f>+[1]BS17A!V446</f>
        <v>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+[1]BS17!$D23</f>
        <v>0</v>
      </c>
      <c r="D66" s="63"/>
      <c r="E66" s="64">
        <f>+[1]BS17A!V456</f>
        <v>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+[1]BS17!$D24</f>
        <v>0</v>
      </c>
      <c r="D67" s="67"/>
      <c r="E67" s="68">
        <f>+[1]BS17A!V500</f>
        <v>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+[1]BS17!$D25</f>
        <v>0</v>
      </c>
      <c r="D68" s="83"/>
      <c r="E68" s="84">
        <f>SUM(E69:E74)</f>
        <v>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+[1]BS17!$D26</f>
        <v>0</v>
      </c>
      <c r="D69" s="63"/>
      <c r="E69" s="64">
        <f>+[1]BS17A!V535</f>
        <v>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+[1]BS17!$D27</f>
        <v>0</v>
      </c>
      <c r="D70" s="63"/>
      <c r="E70" s="64">
        <f>+[1]BS17A!V590</f>
        <v>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+[1]BS17!$D28</f>
        <v>0</v>
      </c>
      <c r="D71" s="63"/>
      <c r="E71" s="64">
        <f>+[1]BS17A!V615</f>
        <v>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+[1]BS17!$D30+[1]BS17!$D32</f>
        <v>0</v>
      </c>
      <c r="D72" s="63"/>
      <c r="E72" s="64">
        <f>+[1]BS17A!V633-[1]BS17A!V634</f>
        <v>0</v>
      </c>
      <c r="F72" s="8"/>
    </row>
    <row r="73" spans="1:7" ht="15" customHeight="1" x14ac:dyDescent="0.2">
      <c r="A73" s="85"/>
      <c r="B73" s="27" t="s">
        <v>118</v>
      </c>
      <c r="C73" s="19">
        <f>+[1]BS17!$D31</f>
        <v>0</v>
      </c>
      <c r="D73" s="63"/>
      <c r="E73" s="64">
        <f>+[1]BS17A!V634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+[1]BS17!$D33</f>
        <v>0</v>
      </c>
      <c r="D74" s="89"/>
      <c r="E74" s="90">
        <f>+[1]BS17A!V654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+[1]BS17!$D34</f>
        <v>0</v>
      </c>
      <c r="D75" s="94"/>
      <c r="E75" s="95">
        <f>+[1]BS17A!V783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0</v>
      </c>
      <c r="D76" s="57"/>
      <c r="E76" s="98">
        <f>+E55+E68+E75</f>
        <v>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53" t="s">
        <v>124</v>
      </c>
      <c r="B79" s="754"/>
      <c r="C79" s="754"/>
      <c r="D79" s="754"/>
      <c r="E79" s="755"/>
      <c r="F79" s="51"/>
      <c r="G79" s="52"/>
    </row>
    <row r="80" spans="1:7" ht="45" customHeight="1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+[1]BS17!D49</f>
        <v>0</v>
      </c>
      <c r="D81" s="61"/>
      <c r="E81" s="103">
        <f>+SUM([1]BS17A!V673+[1]BS17A!V719)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+[1]BS17!E130</f>
        <v>0</v>
      </c>
      <c r="D82" s="63"/>
      <c r="E82" s="105">
        <f>+[1]BS17A!V1574</f>
        <v>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+[1]BS17A!D1849</f>
        <v>0</v>
      </c>
      <c r="D83" s="67"/>
      <c r="E83" s="106">
        <f>+[1]BS17A!V1849</f>
        <v>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0</v>
      </c>
      <c r="D84" s="57"/>
      <c r="E84" s="107">
        <f>SUM(E81:E83)</f>
        <v>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+[1]BS17!F68</f>
        <v>0</v>
      </c>
      <c r="D90" s="110">
        <f>+[1]BS17!G68</f>
        <v>0</v>
      </c>
      <c r="E90" s="111">
        <f>+[1]BS17!H68</f>
        <v>0</v>
      </c>
      <c r="F90" s="112">
        <f>[1]BS17A!V811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+[1]BS17!F69</f>
        <v>0</v>
      </c>
      <c r="D91" s="114">
        <f>+[1]BS17!G69</f>
        <v>0</v>
      </c>
      <c r="E91" s="115">
        <f>+[1]BS17!H69</f>
        <v>0</v>
      </c>
      <c r="F91" s="116">
        <f>[1]BS17A!V882</f>
        <v>0</v>
      </c>
    </row>
    <row r="92" spans="1:6" ht="15" customHeight="1" x14ac:dyDescent="0.2">
      <c r="A92" s="22" t="s">
        <v>139</v>
      </c>
      <c r="B92" s="27" t="s">
        <v>140</v>
      </c>
      <c r="C92" s="113">
        <f>+[1]BS17!F70</f>
        <v>0</v>
      </c>
      <c r="D92" s="114">
        <f>+[1]BS17!G70</f>
        <v>0</v>
      </c>
      <c r="E92" s="115">
        <f>+[1]BS17!H70</f>
        <v>0</v>
      </c>
      <c r="F92" s="116">
        <f>[1]BS17A!V961</f>
        <v>0</v>
      </c>
    </row>
    <row r="93" spans="1:6" ht="15" customHeight="1" x14ac:dyDescent="0.2">
      <c r="A93" s="22" t="s">
        <v>141</v>
      </c>
      <c r="B93" s="27" t="s">
        <v>142</v>
      </c>
      <c r="C93" s="113">
        <f>+[1]BS17!F71</f>
        <v>0</v>
      </c>
      <c r="D93" s="114">
        <f>+[1]BS17!G71</f>
        <v>0</v>
      </c>
      <c r="E93" s="115">
        <f>+[1]BS17!H71</f>
        <v>0</v>
      </c>
      <c r="F93" s="116">
        <f>[1]BS17A!V1037</f>
        <v>0</v>
      </c>
    </row>
    <row r="94" spans="1:6" ht="15" customHeight="1" x14ac:dyDescent="0.2">
      <c r="A94" s="22" t="s">
        <v>143</v>
      </c>
      <c r="B94" s="27" t="s">
        <v>144</v>
      </c>
      <c r="C94" s="113">
        <f>+[1]BS17!F72</f>
        <v>0</v>
      </c>
      <c r="D94" s="114">
        <f>+[1]BS17!G72</f>
        <v>0</v>
      </c>
      <c r="E94" s="115">
        <f>+[1]BS17!H72</f>
        <v>0</v>
      </c>
      <c r="F94" s="116">
        <f>[1]BS17A!V1098</f>
        <v>0</v>
      </c>
    </row>
    <row r="95" spans="1:6" ht="15" customHeight="1" x14ac:dyDescent="0.2">
      <c r="A95" s="22" t="s">
        <v>145</v>
      </c>
      <c r="B95" s="27" t="s">
        <v>146</v>
      </c>
      <c r="C95" s="113">
        <f>+[1]BS17!F73</f>
        <v>0</v>
      </c>
      <c r="D95" s="114">
        <f>+[1]BS17!G73</f>
        <v>0</v>
      </c>
      <c r="E95" s="115">
        <f>+[1]BS17!H73</f>
        <v>0</v>
      </c>
      <c r="F95" s="116">
        <f>[1]BS17A!V1166</f>
        <v>0</v>
      </c>
    </row>
    <row r="96" spans="1:6" ht="15" customHeight="1" x14ac:dyDescent="0.2">
      <c r="A96" s="22" t="s">
        <v>147</v>
      </c>
      <c r="B96" s="27" t="s">
        <v>148</v>
      </c>
      <c r="C96" s="113">
        <f>+[1]BS17!F74</f>
        <v>0</v>
      </c>
      <c r="D96" s="114">
        <f>+[1]BS17!G74</f>
        <v>0</v>
      </c>
      <c r="E96" s="115">
        <f>+[1]BS17!H74</f>
        <v>0</v>
      </c>
      <c r="F96" s="116">
        <f>[1]BS17A!V1221</f>
        <v>0</v>
      </c>
    </row>
    <row r="97" spans="1:6" ht="15" customHeight="1" x14ac:dyDescent="0.2">
      <c r="A97" s="22" t="s">
        <v>149</v>
      </c>
      <c r="B97" s="27" t="s">
        <v>150</v>
      </c>
      <c r="C97" s="113">
        <f>+[1]BS17!F75</f>
        <v>0</v>
      </c>
      <c r="D97" s="114">
        <f>+[1]BS17!G75</f>
        <v>0</v>
      </c>
      <c r="E97" s="115">
        <f>+[1]BS17!H75</f>
        <v>0</v>
      </c>
      <c r="F97" s="116">
        <f>[1]BS17A!V1287</f>
        <v>0</v>
      </c>
    </row>
    <row r="98" spans="1:6" ht="15" customHeight="1" x14ac:dyDescent="0.2">
      <c r="A98" s="22" t="s">
        <v>151</v>
      </c>
      <c r="B98" s="27" t="s">
        <v>152</v>
      </c>
      <c r="C98" s="113">
        <f>+[1]BS17!F76</f>
        <v>0</v>
      </c>
      <c r="D98" s="114">
        <f>+[1]BS17!G76</f>
        <v>0</v>
      </c>
      <c r="E98" s="115">
        <f>+[1]BS17!H76</f>
        <v>0</v>
      </c>
      <c r="F98" s="116">
        <f>[1]BS17A!V1357</f>
        <v>0</v>
      </c>
    </row>
    <row r="99" spans="1:6" ht="15" customHeight="1" x14ac:dyDescent="0.2">
      <c r="A99" s="22" t="s">
        <v>153</v>
      </c>
      <c r="B99" s="27" t="s">
        <v>154</v>
      </c>
      <c r="C99" s="113">
        <f>+[1]BS17!F77</f>
        <v>0</v>
      </c>
      <c r="D99" s="114">
        <f>+[1]BS17!G77</f>
        <v>0</v>
      </c>
      <c r="E99" s="115">
        <f>+[1]BS17!H77</f>
        <v>0</v>
      </c>
      <c r="F99" s="116">
        <f>[1]BS17A!V1441</f>
        <v>0</v>
      </c>
    </row>
    <row r="100" spans="1:6" ht="15" customHeight="1" x14ac:dyDescent="0.2">
      <c r="A100" s="22" t="s">
        <v>155</v>
      </c>
      <c r="B100" s="27" t="s">
        <v>156</v>
      </c>
      <c r="C100" s="113">
        <f>+[1]BS17!F78</f>
        <v>0</v>
      </c>
      <c r="D100" s="114">
        <f>+[1]BS17!G78</f>
        <v>0</v>
      </c>
      <c r="E100" s="115">
        <f>+[1]BS17!H78</f>
        <v>0</v>
      </c>
      <c r="F100" s="116">
        <f>[1]BS17A!V1489</f>
        <v>0</v>
      </c>
    </row>
    <row r="101" spans="1:6" ht="15" customHeight="1" x14ac:dyDescent="0.2">
      <c r="A101" s="22" t="s">
        <v>157</v>
      </c>
      <c r="B101" s="27" t="s">
        <v>158</v>
      </c>
      <c r="C101" s="113">
        <f>+[1]BS17!F79</f>
        <v>0</v>
      </c>
      <c r="D101" s="114">
        <f>+[1]BS17!G79</f>
        <v>0</v>
      </c>
      <c r="E101" s="115">
        <f>+[1]BS17!H79</f>
        <v>0</v>
      </c>
      <c r="F101" s="116">
        <f>[1]BS17A!V1592</f>
        <v>0</v>
      </c>
    </row>
    <row r="102" spans="1:6" ht="15" customHeight="1" x14ac:dyDescent="0.2">
      <c r="A102" s="65" t="s">
        <v>159</v>
      </c>
      <c r="B102" s="29" t="s">
        <v>160</v>
      </c>
      <c r="C102" s="117">
        <f>+[1]BS17!F80</f>
        <v>0</v>
      </c>
      <c r="D102" s="118">
        <f>+[1]BS17!G80</f>
        <v>0</v>
      </c>
      <c r="E102" s="119">
        <f>+[1]BS17!H80</f>
        <v>0</v>
      </c>
      <c r="F102" s="120">
        <f>[1]BS17A!V1597</f>
        <v>0</v>
      </c>
    </row>
    <row r="103" spans="1:6" ht="15" customHeight="1" x14ac:dyDescent="0.2">
      <c r="A103" s="17" t="s">
        <v>161</v>
      </c>
      <c r="B103" s="36" t="s">
        <v>162</v>
      </c>
      <c r="C103" s="109">
        <f>+[1]BS17!F81</f>
        <v>0</v>
      </c>
      <c r="D103" s="110">
        <f>+[1]BS17!G81</f>
        <v>0</v>
      </c>
      <c r="E103" s="111">
        <f>+[1]BS17!H81</f>
        <v>0</v>
      </c>
      <c r="F103" s="112">
        <f>+[1]BS17A!V1631</f>
        <v>0</v>
      </c>
    </row>
    <row r="104" spans="1:6" ht="15" customHeight="1" x14ac:dyDescent="0.2">
      <c r="A104" s="22"/>
      <c r="B104" s="27" t="s">
        <v>163</v>
      </c>
      <c r="C104" s="113">
        <f>+[1]BS17A!D1635</f>
        <v>0</v>
      </c>
      <c r="D104" s="114">
        <f>+[1]BS17A!F1635</f>
        <v>0</v>
      </c>
      <c r="E104" s="115">
        <f>+[1]BS17A!G1635</f>
        <v>0</v>
      </c>
      <c r="F104" s="116">
        <f>+[1]BS17A!V1635</f>
        <v>0</v>
      </c>
    </row>
    <row r="105" spans="1:6" ht="15" customHeight="1" x14ac:dyDescent="0.2">
      <c r="A105" s="22"/>
      <c r="B105" s="27" t="s">
        <v>164</v>
      </c>
      <c r="C105" s="113">
        <f>+[1]BS17A!D1634</f>
        <v>0</v>
      </c>
      <c r="D105" s="114">
        <f>+[1]BS17A!F1634</f>
        <v>0</v>
      </c>
      <c r="E105" s="115">
        <f>+[1]BS17A!G1634</f>
        <v>0</v>
      </c>
      <c r="F105" s="116">
        <f>+[1]BS17A!V1634</f>
        <v>0</v>
      </c>
    </row>
    <row r="106" spans="1:6" ht="15" customHeight="1" x14ac:dyDescent="0.2">
      <c r="A106" s="28"/>
      <c r="B106" s="39" t="s">
        <v>165</v>
      </c>
      <c r="C106" s="121">
        <f>+[1]BS17A!D1632+[1]BS17A!D1633</f>
        <v>0</v>
      </c>
      <c r="D106" s="122">
        <f>+[1]BS17A!F1632+[1]BS17A!F1633</f>
        <v>0</v>
      </c>
      <c r="E106" s="123">
        <f>+[1]BS17A!G1632+[1]BS17A!G1633</f>
        <v>0</v>
      </c>
      <c r="F106" s="124">
        <f>+[1]BS17A!V1632+[1]BS17A!V1633</f>
        <v>0</v>
      </c>
    </row>
    <row r="107" spans="1:6" ht="15" customHeight="1" x14ac:dyDescent="0.2">
      <c r="A107" s="59" t="s">
        <v>166</v>
      </c>
      <c r="B107" s="79" t="s">
        <v>167</v>
      </c>
      <c r="C107" s="125">
        <f>+[1]BS17!F82</f>
        <v>0</v>
      </c>
      <c r="D107" s="126">
        <f>+[1]BS17!G82</f>
        <v>0</v>
      </c>
      <c r="E107" s="127">
        <f>+[1]BS17!H82</f>
        <v>0</v>
      </c>
      <c r="F107" s="128">
        <f>+[1]BS17A!V1639</f>
        <v>0</v>
      </c>
    </row>
    <row r="108" spans="1:6" ht="15" customHeight="1" x14ac:dyDescent="0.2">
      <c r="A108" s="129">
        <v>2106</v>
      </c>
      <c r="B108" s="39" t="s">
        <v>168</v>
      </c>
      <c r="C108" s="121">
        <f>[1]BS17A!D1845</f>
        <v>0</v>
      </c>
      <c r="D108" s="122">
        <f>[1]BS17A!F1845</f>
        <v>0</v>
      </c>
      <c r="E108" s="123">
        <f>[1]BS17A!G1845</f>
        <v>0</v>
      </c>
      <c r="F108" s="124">
        <f>+[1]BS17A!V1845</f>
        <v>0</v>
      </c>
    </row>
    <row r="109" spans="1:6" ht="15" customHeight="1" x14ac:dyDescent="0.2">
      <c r="A109" s="130"/>
      <c r="B109" s="131" t="s">
        <v>169</v>
      </c>
      <c r="C109" s="132">
        <f>SUM(C90:C108)-C103</f>
        <v>0</v>
      </c>
      <c r="D109" s="133">
        <f>SUM(D90:D108)-D103</f>
        <v>0</v>
      </c>
      <c r="E109" s="134">
        <f>+SUM(E90:E103)+E107+E108</f>
        <v>0</v>
      </c>
      <c r="F109" s="135">
        <f>+SUM(F90:F103)+F107+F108</f>
        <v>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53" t="s">
        <v>170</v>
      </c>
      <c r="B112" s="754"/>
      <c r="C112" s="754"/>
      <c r="D112" s="754"/>
      <c r="E112" s="755"/>
      <c r="F112" s="5"/>
    </row>
    <row r="113" spans="1:6" ht="49.5" customHeight="1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+[1]BS17A!D1636</f>
        <v>0</v>
      </c>
      <c r="D114" s="136">
        <f>+[1]BS17A!U1636</f>
        <v>132810</v>
      </c>
      <c r="E114" s="137">
        <f>+[1]BS17A!V1636</f>
        <v>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+[1]BS17A!D1637</f>
        <v>0</v>
      </c>
      <c r="D115" s="139">
        <f>+[1]BS17A!U1637</f>
        <v>139740</v>
      </c>
      <c r="E115" s="106">
        <f>+[1]BS17A!V1637</f>
        <v>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0</v>
      </c>
      <c r="D116" s="57"/>
      <c r="E116" s="107">
        <f>SUM(E114:E115)</f>
        <v>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64" t="s">
        <v>176</v>
      </c>
      <c r="B119" s="764"/>
      <c r="C119" s="764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+[1]BS17A!V1871+[1]BS17A!V1889+[1]BS17A!V1914</f>
        <v>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53" t="s">
        <v>179</v>
      </c>
      <c r="B124" s="754"/>
      <c r="C124" s="754"/>
      <c r="D124" s="754"/>
      <c r="E124" s="755"/>
      <c r="F124" s="5"/>
    </row>
    <row r="125" spans="1:6" ht="45.75" customHeight="1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+[1]BS17A!$D59</f>
        <v>0</v>
      </c>
      <c r="D126" s="37">
        <f>+[1]BS17A!$U59</f>
        <v>34010</v>
      </c>
      <c r="E126" s="145">
        <f>+[1]BS17A!$V59</f>
        <v>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+[1]BS17A!$D60</f>
        <v>0</v>
      </c>
      <c r="D127" s="24">
        <f>+[1]BS17A!$U60</f>
        <v>31310</v>
      </c>
      <c r="E127" s="146">
        <f>+[1]BS17A!$V60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+[1]BS17A!$D61</f>
        <v>0</v>
      </c>
      <c r="D128" s="24">
        <f>+[1]BS17A!$U61</f>
        <v>26100</v>
      </c>
      <c r="E128" s="146">
        <f>+[1]BS17A!$V61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SUM([1]BS17A!D62:D64)</f>
        <v>0</v>
      </c>
      <c r="D129" s="24">
        <f>+[1]BS17A!$U62</f>
        <v>141410</v>
      </c>
      <c r="E129" s="146">
        <f>SUM([1]BS17A!V62:V64)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SUM([1]BS17A!D65:D67)</f>
        <v>0</v>
      </c>
      <c r="D130" s="24">
        <f>+[1]BS17A!$U65</f>
        <v>68290</v>
      </c>
      <c r="E130" s="146">
        <f>SUM([1]BS17A!V65:V67)</f>
        <v>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+[1]BS17A!D68</f>
        <v>0</v>
      </c>
      <c r="D131" s="24">
        <f>+[1]BS17A!$U68</f>
        <v>61270</v>
      </c>
      <c r="E131" s="146">
        <f>+[1]BS17A!$V68</f>
        <v>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+[1]BS17A!$D69</f>
        <v>0</v>
      </c>
      <c r="D132" s="24">
        <f>+[1]BS17A!$U69</f>
        <v>17390</v>
      </c>
      <c r="E132" s="146">
        <f>+[1]BS17A!$V69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+[1]BS17A!$D70</f>
        <v>0</v>
      </c>
      <c r="D133" s="24">
        <f>+[1]BS17A!$U70</f>
        <v>27240</v>
      </c>
      <c r="E133" s="146">
        <f>+[1]BS17A!$V70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+[1]BS17A!$D73</f>
        <v>0</v>
      </c>
      <c r="D134" s="24">
        <f>+[1]BS17A!$U73</f>
        <v>27470</v>
      </c>
      <c r="E134" s="146">
        <f>+[1]BS17A!$V73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+[1]BS17A!$D71</f>
        <v>0</v>
      </c>
      <c r="D135" s="24">
        <f>+[1]BS17A!$U71</f>
        <v>28360</v>
      </c>
      <c r="E135" s="146">
        <f>+[1]BS17A!$V71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+[1]BS17A!$D76</f>
        <v>0</v>
      </c>
      <c r="D136" s="24">
        <f>+[1]BS17A!$U76</f>
        <v>34010</v>
      </c>
      <c r="E136" s="146">
        <f>+[1]BS17A!$V76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+[1]BS17A!$D79</f>
        <v>0</v>
      </c>
      <c r="D137" s="24">
        <f>+[1]BS17A!$U79</f>
        <v>6600</v>
      </c>
      <c r="E137" s="146">
        <f>+[1]BS17A!$V79</f>
        <v>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+[1]BS17A!$D80</f>
        <v>0</v>
      </c>
      <c r="D138" s="24">
        <f>+[1]BS17A!$U80</f>
        <v>47670</v>
      </c>
      <c r="E138" s="146">
        <f>+[1]BS17A!$V80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0</v>
      </c>
      <c r="D139" s="149"/>
      <c r="E139" s="150">
        <f>SUM(E126:E138)</f>
        <v>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+[1]BS17A!$D72</f>
        <v>0</v>
      </c>
      <c r="D141" s="24">
        <f>+[1]BS17A!$U72</f>
        <v>11430</v>
      </c>
      <c r="E141" s="146">
        <f>+[1]BS17A!$V72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+[1]BS17A!$D74</f>
        <v>0</v>
      </c>
      <c r="D142" s="24">
        <f>+[1]BS17A!$U74</f>
        <v>11430</v>
      </c>
      <c r="E142" s="146">
        <f>+[1]BS17A!$V74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+[1]BS17A!$D75</f>
        <v>0</v>
      </c>
      <c r="D143" s="24">
        <f>+[1]BS17A!$U75</f>
        <v>5040</v>
      </c>
      <c r="E143" s="146">
        <f>+[1]BS17A!$V75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+[1]BS17A!$D77</f>
        <v>0</v>
      </c>
      <c r="D144" s="24">
        <f>+[1]BS17A!$U77</f>
        <v>91950</v>
      </c>
      <c r="E144" s="146">
        <f>+[1]BS17A!$V77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+[1]BS17A!$D78</f>
        <v>0</v>
      </c>
      <c r="D145" s="24">
        <f>+[1]BS17A!$U78</f>
        <v>10860</v>
      </c>
      <c r="E145" s="146">
        <f>+[1]BS17A!$V78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+[1]BS17A!$D81</f>
        <v>0</v>
      </c>
      <c r="D146" s="24">
        <f>+[1]BS17A!$U81</f>
        <v>8360</v>
      </c>
      <c r="E146" s="146">
        <f>+[1]BS17A!$V81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0</v>
      </c>
      <c r="D148" s="151"/>
      <c r="E148" s="152">
        <f>+E139+E147</f>
        <v>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45" t="s">
        <v>222</v>
      </c>
      <c r="B151" s="746"/>
      <c r="C151" s="746"/>
      <c r="D151" s="746"/>
      <c r="E151" s="747"/>
      <c r="F151" s="5"/>
    </row>
    <row r="152" spans="1:6" ht="47.25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+[1]BS17A!D43</f>
        <v>0</v>
      </c>
      <c r="D153" s="37">
        <f>[1]BS17A!U43</f>
        <v>780</v>
      </c>
      <c r="E153" s="145">
        <f>+[1]BS17A!V43</f>
        <v>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+[1]BS17A!D44+[1]BS17A!D45</f>
        <v>0</v>
      </c>
      <c r="D154" s="40">
        <f>[1]BS17A!U44</f>
        <v>100</v>
      </c>
      <c r="E154" s="153">
        <f>+[1]BS17A!V44+[1]BS17A!V45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0</v>
      </c>
      <c r="D155" s="151"/>
      <c r="E155" s="152">
        <f>SUM(E153:E154)</f>
        <v>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+[1]BS17A!$D1481</f>
        <v>0</v>
      </c>
      <c r="D160" s="37">
        <f>+[1]BS17A!$U1481</f>
        <v>42830</v>
      </c>
      <c r="E160" s="145">
        <f>+[1]BS17A!$V1481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+[1]BS17A!$D1482</f>
        <v>0</v>
      </c>
      <c r="D161" s="24">
        <f>+[1]BS17A!$U1482</f>
        <v>26930</v>
      </c>
      <c r="E161" s="146">
        <f>+[1]BS17A!$V1482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+[1]BS17A!$D1483</f>
        <v>0</v>
      </c>
      <c r="D162" s="24">
        <f>+[1]BS17A!$U1483</f>
        <v>27740</v>
      </c>
      <c r="E162" s="146">
        <f>+[1]BS17A!$V1483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+[1]BS17A!$D1484</f>
        <v>0</v>
      </c>
      <c r="D163" s="24">
        <f>+[1]BS17A!$U1484</f>
        <v>832280</v>
      </c>
      <c r="E163" s="146">
        <f>+[1]BS17A!$V1484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+[1]BS17A!$D1485</f>
        <v>0</v>
      </c>
      <c r="D164" s="24">
        <f>+[1]BS17A!$U1485</f>
        <v>378030</v>
      </c>
      <c r="E164" s="146">
        <f>+[1]BS17A!$V1485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+[1]BS17A!$D1486</f>
        <v>0</v>
      </c>
      <c r="D165" s="24">
        <f>+[1]BS17A!$U1486</f>
        <v>578050</v>
      </c>
      <c r="E165" s="146">
        <f>+[1]BS17A!$V1486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+[1]BS17A!$D1487</f>
        <v>0</v>
      </c>
      <c r="D166" s="24">
        <f>+[1]BS17A!$U1487</f>
        <v>52120</v>
      </c>
      <c r="E166" s="146">
        <f>+[1]BS17A!$V1487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+[1]BS17A!$D1488</f>
        <v>0</v>
      </c>
      <c r="D167" s="40">
        <f>+[1]BS17A!$U1488</f>
        <v>677560</v>
      </c>
      <c r="E167" s="153">
        <f>+[1]BS17A!$V1488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5"/>
    </row>
    <row r="172" spans="1:6" ht="46.5" customHeight="1" x14ac:dyDescent="0.2">
      <c r="A172" s="11" t="s">
        <v>8</v>
      </c>
      <c r="B172" s="11" t="s">
        <v>9</v>
      </c>
      <c r="C172" s="12" t="s">
        <v>10</v>
      </c>
      <c r="D172" s="13" t="s">
        <v>11</v>
      </c>
      <c r="E172" s="14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+[1]BS17A!$D805</f>
        <v>0</v>
      </c>
      <c r="D173" s="37">
        <f>+[1]BS17A!$U805</f>
        <v>14690</v>
      </c>
      <c r="E173" s="145">
        <f>+[1]BS17A!$V805</f>
        <v>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+[1]BS17A!$D806</f>
        <v>0</v>
      </c>
      <c r="D174" s="24">
        <f>+[1]BS17A!$U806</f>
        <v>11740</v>
      </c>
      <c r="E174" s="146">
        <f>+[1]BS17A!$V806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+[1]BS17A!$D1197</f>
        <v>0</v>
      </c>
      <c r="D175" s="24">
        <f>+[1]BS17A!$U1197</f>
        <v>5030</v>
      </c>
      <c r="E175" s="146">
        <f>+[1]BS17A!$V1197</f>
        <v>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+[1]BS17A!$D1198</f>
        <v>0</v>
      </c>
      <c r="D176" s="24">
        <f>+[1]BS17A!$U1198</f>
        <v>14180</v>
      </c>
      <c r="E176" s="146">
        <f>+[1]BS17A!$V1198</f>
        <v>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+[1]BS17A!$D1199</f>
        <v>0</v>
      </c>
      <c r="D177" s="24">
        <f>+[1]BS17A!$U1199</f>
        <v>24050</v>
      </c>
      <c r="E177" s="146">
        <f>+[1]BS17A!$V1199</f>
        <v>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+[1]BS17A!$D1200</f>
        <v>0</v>
      </c>
      <c r="D178" s="24">
        <f>+[1]BS17A!$U1200</f>
        <v>45920</v>
      </c>
      <c r="E178" s="146">
        <f>+[1]BS17A!$V1200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+[1]BS17A!$D1201</f>
        <v>0</v>
      </c>
      <c r="D179" s="24">
        <f>+[1]BS17A!$U1201</f>
        <v>51180</v>
      </c>
      <c r="E179" s="146">
        <f>+[1]BS17A!$V1201</f>
        <v>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+[1]BS17A!$D1202</f>
        <v>0</v>
      </c>
      <c r="D180" s="24">
        <f>+[1]BS17A!$U1202</f>
        <v>28710</v>
      </c>
      <c r="E180" s="146">
        <f>+[1]BS17A!$V1202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+[1]BS17A!$D1203</f>
        <v>0</v>
      </c>
      <c r="D181" s="24">
        <f>+[1]BS17A!$U1203</f>
        <v>222100</v>
      </c>
      <c r="E181" s="146">
        <f>+[1]BS17A!$V1203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+[1]BS17A!$D1204</f>
        <v>0</v>
      </c>
      <c r="D182" s="24">
        <f>+[1]BS17A!$U1204</f>
        <v>252490</v>
      </c>
      <c r="E182" s="146">
        <f>+[1]BS17A!$V1204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+[1]BS17A!$D1205</f>
        <v>0</v>
      </c>
      <c r="D183" s="24">
        <f>+[1]BS17A!$U1205</f>
        <v>205900</v>
      </c>
      <c r="E183" s="146">
        <f>+[1]BS17A!$V1205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+[1]BS17A!$D1206</f>
        <v>0</v>
      </c>
      <c r="D184" s="24">
        <f>+[1]BS17A!$U1206</f>
        <v>264470</v>
      </c>
      <c r="E184" s="146">
        <f>+[1]BS17A!$V1206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+[1]BS17A!$D1207</f>
        <v>0</v>
      </c>
      <c r="D185" s="24">
        <f>+[1]BS17A!$U1207</f>
        <v>270610</v>
      </c>
      <c r="E185" s="146">
        <f>+[1]BS17A!$V1207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+[1]BS17A!$D1208</f>
        <v>0</v>
      </c>
      <c r="D186" s="24">
        <f>+[1]BS17A!$U1208</f>
        <v>228850</v>
      </c>
      <c r="E186" s="146">
        <f>+[1]BS17A!$V1208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+[1]BS17A!$D1209</f>
        <v>0</v>
      </c>
      <c r="D187" s="24">
        <f>+[1]BS17A!$U1209</f>
        <v>244270</v>
      </c>
      <c r="E187" s="146">
        <f>+[1]BS17A!$V1209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+[1]BS17A!$D1210</f>
        <v>0</v>
      </c>
      <c r="D188" s="24">
        <f>+[1]BS17A!$U1210</f>
        <v>292090</v>
      </c>
      <c r="E188" s="146">
        <f>+[1]BS17A!$V1210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+[1]BS17A!$D1211</f>
        <v>0</v>
      </c>
      <c r="D189" s="24">
        <f>+[1]BS17A!$U1211</f>
        <v>259010</v>
      </c>
      <c r="E189" s="146">
        <f>+[1]BS17A!$V1211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+[1]BS17A!$D1212</f>
        <v>0</v>
      </c>
      <c r="D190" s="24">
        <f>+[1]BS17A!$U1212</f>
        <v>1895520</v>
      </c>
      <c r="E190" s="146">
        <f>+[1]BS17A!$V1212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+[1]BS17A!$D1213</f>
        <v>0</v>
      </c>
      <c r="D191" s="24">
        <f>+[1]BS17A!$U1213</f>
        <v>1183940</v>
      </c>
      <c r="E191" s="146">
        <f>+[1]BS17A!$V1213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+[1]BS17A!$D1214</f>
        <v>0</v>
      </c>
      <c r="D192" s="24">
        <f>+[1]BS17A!$U1214</f>
        <v>1145920</v>
      </c>
      <c r="E192" s="146">
        <f>+[1]BS17A!$V1214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+[1]BS17A!$D1215</f>
        <v>0</v>
      </c>
      <c r="D193" s="24">
        <f>+[1]BS17A!$U1215</f>
        <v>1200500</v>
      </c>
      <c r="E193" s="146">
        <f>+[1]BS17A!$V1215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+[1]BS17A!$D1216</f>
        <v>0</v>
      </c>
      <c r="D194" s="24">
        <f>+[1]BS17A!$U1216</f>
        <v>169880</v>
      </c>
      <c r="E194" s="146">
        <f>+[1]BS17A!$V1216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+[1]BS17A!$D1217</f>
        <v>0</v>
      </c>
      <c r="D195" s="24">
        <f>+[1]BS17A!$U1217</f>
        <v>387660</v>
      </c>
      <c r="E195" s="146">
        <f>+[1]BS17A!$V1217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+[1]BS17A!$D1218</f>
        <v>0</v>
      </c>
      <c r="D196" s="24">
        <f>+[1]BS17A!$U1218</f>
        <v>143720</v>
      </c>
      <c r="E196" s="146">
        <f>+[1]BS17A!$V1218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+[1]BS17A!$D1219</f>
        <v>0</v>
      </c>
      <c r="D197" s="24">
        <f>+[1]BS17A!$U1219</f>
        <v>1164440</v>
      </c>
      <c r="E197" s="146">
        <f>+[1]BS17A!$V1219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+[1]BS17A!$D1220</f>
        <v>0</v>
      </c>
      <c r="D198" s="24">
        <f>+[1]BS17A!$U1220</f>
        <v>1164440</v>
      </c>
      <c r="E198" s="146">
        <f>+[1]BS17A!$V1220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+[1]BS17A!$D1354</f>
        <v>0</v>
      </c>
      <c r="D199" s="24">
        <f>+[1]BS17A!$U1354</f>
        <v>34730</v>
      </c>
      <c r="E199" s="146">
        <f>+[1]BS17A!$V1354</f>
        <v>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+[1]BS17A!$D1355</f>
        <v>0</v>
      </c>
      <c r="D200" s="24">
        <f>+[1]BS17A!$U1355</f>
        <v>41890</v>
      </c>
      <c r="E200" s="146">
        <f>+[1]BS17A!$V1355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+[1]BS17A!$D1356</f>
        <v>0</v>
      </c>
      <c r="D201" s="24">
        <f>+[1]BS17A!$U1356</f>
        <v>44620</v>
      </c>
      <c r="E201" s="146">
        <f>+[1]BS17A!$V1356</f>
        <v>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[1]BS17A!D1036</f>
        <v>0</v>
      </c>
      <c r="D202" s="24">
        <f>[1]BS17A!U1036</f>
        <v>9390</v>
      </c>
      <c r="E202" s="146">
        <f>[1]BS17A!V1036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[1]BS17A!D807</f>
        <v>0</v>
      </c>
      <c r="D203" s="24">
        <f>[1]BS17A!U807</f>
        <v>398560</v>
      </c>
      <c r="E203" s="146">
        <f>[1]BS17A!V807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[1]BS17A!D808</f>
        <v>0</v>
      </c>
      <c r="D204" s="24">
        <f>[1]BS17A!U808</f>
        <v>8946190</v>
      </c>
      <c r="E204" s="146">
        <f>[1]BS17A!V808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[1]BS17A!D809</f>
        <v>0</v>
      </c>
      <c r="D205" s="24">
        <f>[1]BS17A!U809</f>
        <v>229650</v>
      </c>
      <c r="E205" s="146">
        <f>[1]BS17A!V809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[1]BS17A!D810</f>
        <v>0</v>
      </c>
      <c r="D206" s="40">
        <f>[1]BS17A!U810</f>
        <v>1047210</v>
      </c>
      <c r="E206" s="153">
        <f>[1]BS17A!V810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0</v>
      </c>
      <c r="D207" s="151"/>
      <c r="E207" s="152">
        <f>SUM(E173:E206)</f>
        <v>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5"/>
    </row>
    <row r="211" spans="1:6" ht="39.75" customHeight="1" x14ac:dyDescent="0.2">
      <c r="A211" s="11" t="s">
        <v>8</v>
      </c>
      <c r="B211" s="11" t="s">
        <v>9</v>
      </c>
      <c r="C211" s="12" t="s">
        <v>10</v>
      </c>
      <c r="D211" s="13" t="s">
        <v>11</v>
      </c>
      <c r="E211" s="14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+[1]BS17A!$D18</f>
        <v>0</v>
      </c>
      <c r="D212" s="37">
        <f>+[1]BS17A!$U18</f>
        <v>14530</v>
      </c>
      <c r="E212" s="145">
        <f>+[1]BS17A!$V18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+[1]BS17A!$D19</f>
        <v>0</v>
      </c>
      <c r="D213" s="24">
        <f>+[1]BS17A!$U19</f>
        <v>14530</v>
      </c>
      <c r="E213" s="146">
        <f>+[1]BS17A!$V19</f>
        <v>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+[1]BS17A!$D47</f>
        <v>0</v>
      </c>
      <c r="D214" s="24">
        <f>+[1]BS17A!$U47</f>
        <v>1390</v>
      </c>
      <c r="E214" s="146">
        <f>+[1]BS17A!$V47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+[1]BS17A!$D48</f>
        <v>0</v>
      </c>
      <c r="D215" s="24">
        <f>+[1]BS17A!$U48</f>
        <v>680</v>
      </c>
      <c r="E215" s="146">
        <f>+[1]BS17A!$V48</f>
        <v>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+[1]BS17A!$D49</f>
        <v>0</v>
      </c>
      <c r="D216" s="24">
        <f>+[1]BS17A!$U49</f>
        <v>2060</v>
      </c>
      <c r="E216" s="146">
        <f>+[1]BS17A!$V49</f>
        <v>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+[1]BS17A!$D50</f>
        <v>0</v>
      </c>
      <c r="D217" s="24">
        <f>+[1]BS17A!$U50</f>
        <v>15480</v>
      </c>
      <c r="E217" s="146">
        <f>+[1]BS17A!$V50</f>
        <v>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+[1]BS17A!$D51</f>
        <v>0</v>
      </c>
      <c r="D218" s="24">
        <f>+[1]BS17A!$U51</f>
        <v>35550</v>
      </c>
      <c r="E218" s="146">
        <f>+[1]BS17A!$V51</f>
        <v>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+[1]BS17A!D52</f>
        <v>0</v>
      </c>
      <c r="D219" s="174"/>
      <c r="E219" s="146">
        <f>+[1]BS17A!V52</f>
        <v>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+[1]BS17A!$D1861</f>
        <v>0</v>
      </c>
      <c r="D220" s="40">
        <f>+[1]BS17A!$U1861</f>
        <v>28810</v>
      </c>
      <c r="E220" s="153">
        <f>+[1]BS17A!$V1861</f>
        <v>0</v>
      </c>
      <c r="F220" s="8"/>
    </row>
    <row r="221" spans="1:6" ht="12.75" x14ac:dyDescent="0.2">
      <c r="A221" s="130"/>
      <c r="B221" s="131" t="s">
        <v>329</v>
      </c>
      <c r="C221" s="44">
        <f>SUM(C212:C220)</f>
        <v>0</v>
      </c>
      <c r="D221" s="151"/>
      <c r="E221" s="175">
        <f>SUM(E212:E220)</f>
        <v>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65" t="s">
        <v>330</v>
      </c>
      <c r="B224" s="766"/>
      <c r="C224" s="767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12" t="s">
        <v>10</v>
      </c>
      <c r="D232" s="13" t="s">
        <v>11</v>
      </c>
      <c r="E232" s="14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+[1]BS17A!$D1941</f>
        <v>0</v>
      </c>
      <c r="D233" s="37">
        <f>+[1]BS17A!$U1941</f>
        <v>19890</v>
      </c>
      <c r="E233" s="145">
        <f>+[1]BS17A!$V1941</f>
        <v>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+[1]BS17A!$D1942</f>
        <v>0</v>
      </c>
      <c r="D234" s="40">
        <f>+[1]BS17A!$U1942</f>
        <v>249320</v>
      </c>
      <c r="E234" s="153">
        <f>+[1]BS17A!$V1942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0</v>
      </c>
      <c r="D235" s="151"/>
      <c r="E235" s="152">
        <f>SUM(E233:E234)</f>
        <v>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8"/>
    </row>
    <row r="239" spans="1:7" ht="41.25" customHeight="1" x14ac:dyDescent="0.2">
      <c r="A239" s="11" t="s">
        <v>8</v>
      </c>
      <c r="B239" s="11" t="s">
        <v>9</v>
      </c>
      <c r="C239" s="12" t="s">
        <v>10</v>
      </c>
      <c r="D239" s="13" t="s">
        <v>11</v>
      </c>
      <c r="E239" s="14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[1]BS17A!D768</f>
        <v>0</v>
      </c>
      <c r="D240" s="191"/>
      <c r="E240" s="192">
        <f>[1]BS17A!V768</f>
        <v>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8"/>
    </row>
    <row r="243" spans="1:6" ht="43.5" customHeight="1" x14ac:dyDescent="0.2">
      <c r="A243" s="11" t="s">
        <v>8</v>
      </c>
      <c r="B243" s="12" t="s">
        <v>346</v>
      </c>
      <c r="C243" s="100" t="s">
        <v>347</v>
      </c>
      <c r="D243" s="13" t="s">
        <v>11</v>
      </c>
      <c r="E243" s="14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+[1]BS17A!$D1944</f>
        <v>0</v>
      </c>
      <c r="D244" s="37">
        <f>+[1]BS17A!$U1944</f>
        <v>254650</v>
      </c>
      <c r="E244" s="145">
        <f>+[1]BS17A!$V1944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+[1]BS17A!$D1945</f>
        <v>0</v>
      </c>
      <c r="D245" s="24">
        <f>+[1]BS17A!$U1945</f>
        <v>36180</v>
      </c>
      <c r="E245" s="146">
        <f>+[1]BS17A!$V1945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+[1]BS17A!$D1946</f>
        <v>0</v>
      </c>
      <c r="D246" s="24">
        <f>+[1]BS17A!$U1946</f>
        <v>136500</v>
      </c>
      <c r="E246" s="146">
        <f>+[1]BS17A!$V1946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+[1]BS17A!$D1947</f>
        <v>0</v>
      </c>
      <c r="D247" s="24">
        <f>+[1]BS17A!$U1947</f>
        <v>136500</v>
      </c>
      <c r="E247" s="146">
        <f>+[1]BS17A!$V1947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+[1]BS17A!$D1948</f>
        <v>0</v>
      </c>
      <c r="D248" s="24">
        <f>+[1]BS17A!$U1948</f>
        <v>248500</v>
      </c>
      <c r="E248" s="146">
        <f>+[1]BS17A!$V1948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+[1]BS17A!$D1949</f>
        <v>0</v>
      </c>
      <c r="D249" s="24">
        <f>+[1]BS17A!$U1949</f>
        <v>381350</v>
      </c>
      <c r="E249" s="146">
        <f>+[1]BS17A!$V1949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+[1]BS17A!$D1950</f>
        <v>0</v>
      </c>
      <c r="D250" s="24">
        <f>+[1]BS17A!$U1950</f>
        <v>650560</v>
      </c>
      <c r="E250" s="146">
        <f>+[1]BS17A!$V1950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+[1]BS17A!$D1951</f>
        <v>0</v>
      </c>
      <c r="D251" s="24">
        <f>+[1]BS17A!$U1951</f>
        <v>135500</v>
      </c>
      <c r="E251" s="146">
        <f>+[1]BS17A!$V1951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+[1]BS17A!$D1952</f>
        <v>0</v>
      </c>
      <c r="D252" s="24">
        <f>+[1]BS17A!$U1952</f>
        <v>365200</v>
      </c>
      <c r="E252" s="146">
        <f>+[1]BS17A!$V1952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+[1]BS17A!$D1953</f>
        <v>0</v>
      </c>
      <c r="D253" s="31">
        <f>+[1]BS17A!$U1953</f>
        <v>153770</v>
      </c>
      <c r="E253" s="198">
        <f>+[1]BS17A!$V1953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+[1]BS17A!$D1954</f>
        <v>0</v>
      </c>
      <c r="D254" s="31">
        <f>+[1]BS17A!$U1954</f>
        <v>133620</v>
      </c>
      <c r="E254" s="198">
        <f>+[1]BS17A!$V1954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+[1]BS17A!$D1955</f>
        <v>0</v>
      </c>
      <c r="D255" s="31">
        <f>+[1]BS17A!$U1955</f>
        <v>203150</v>
      </c>
      <c r="E255" s="198">
        <f>+[1]BS17A!$V1955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+[1]BS17A!$D1956</f>
        <v>0</v>
      </c>
      <c r="D256" s="31">
        <f>+[1]BS17A!$U1956</f>
        <v>53460</v>
      </c>
      <c r="E256" s="198">
        <f>+[1]BS17A!$V1956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+[1]BS17A!$D1957</f>
        <v>0</v>
      </c>
      <c r="D257" s="40">
        <f>+[1]BS17A!$U1957</f>
        <v>39950</v>
      </c>
      <c r="E257" s="153">
        <f>+[1]BS17A!$V1957</f>
        <v>0</v>
      </c>
      <c r="F257" s="8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+[1]BS17A!$D1958</f>
        <v>0</v>
      </c>
      <c r="D259" s="37">
        <f>+[1]BS17A!$U1958</f>
        <v>219080</v>
      </c>
      <c r="E259" s="145">
        <f>+[1]BS17A!$V1958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+[1]BS17A!$D1959</f>
        <v>0</v>
      </c>
      <c r="D260" s="24">
        <f>+[1]BS17A!$U1959</f>
        <v>1303250</v>
      </c>
      <c r="E260" s="146">
        <f>+[1]BS17A!$V1959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+[1]BS17A!$D1960</f>
        <v>0</v>
      </c>
      <c r="D261" s="24">
        <f>+[1]BS17A!$U1960</f>
        <v>196630</v>
      </c>
      <c r="E261" s="146">
        <f>+[1]BS17A!$V1960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+[1]BS17A!$D1961</f>
        <v>0</v>
      </c>
      <c r="D262" s="24">
        <f>+[1]BS17A!$U1961</f>
        <v>173880</v>
      </c>
      <c r="E262" s="146">
        <f>+[1]BS17A!$V1961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+[1]BS17A!$D1962</f>
        <v>0</v>
      </c>
      <c r="D263" s="24">
        <f>+[1]BS17A!$U1962</f>
        <v>352980</v>
      </c>
      <c r="E263" s="146">
        <f>+[1]BS17A!$V1962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+[1]BS17A!$D1963</f>
        <v>0</v>
      </c>
      <c r="D264" s="24">
        <f>+[1]BS17A!$U1963</f>
        <v>1173780</v>
      </c>
      <c r="E264" s="146">
        <f>+[1]BS17A!$V1963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+[1]BS17A!$D1964</f>
        <v>0</v>
      </c>
      <c r="D265" s="24">
        <f>+[1]BS17A!$U1964</f>
        <v>1206250</v>
      </c>
      <c r="E265" s="146">
        <f>+[1]BS17A!$V1964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+[1]BS17A!$D1965</f>
        <v>0</v>
      </c>
      <c r="D266" s="24">
        <f>+[1]BS17A!$U1965</f>
        <v>955090</v>
      </c>
      <c r="E266" s="146">
        <f>+[1]BS17A!$V1965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+[1]BS17A!$D1966</f>
        <v>0</v>
      </c>
      <c r="D267" s="24">
        <f>+[1]BS17A!$U1966</f>
        <v>1006570</v>
      </c>
      <c r="E267" s="146">
        <f>+[1]BS17A!$V1966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+[1]BS17A!$D1967</f>
        <v>0</v>
      </c>
      <c r="D268" s="24">
        <f>+[1]BS17A!$U1967</f>
        <v>397090</v>
      </c>
      <c r="E268" s="146">
        <f>+[1]BS17A!$V1967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+[1]BS17A!$D1968</f>
        <v>0</v>
      </c>
      <c r="D269" s="24">
        <f>+[1]BS17A!$U1968</f>
        <v>95100</v>
      </c>
      <c r="E269" s="146">
        <f>+[1]BS17A!$V1968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+[1]BS17A!$D1969</f>
        <v>0</v>
      </c>
      <c r="D270" s="24">
        <f>+[1]BS17A!$U1969</f>
        <v>283710</v>
      </c>
      <c r="E270" s="146">
        <f>+[1]BS17A!$V1969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+[1]BS17A!$D1970</f>
        <v>0</v>
      </c>
      <c r="D271" s="24">
        <f>+[1]BS17A!$U1970</f>
        <v>80220</v>
      </c>
      <c r="E271" s="146">
        <f>+[1]BS17A!$V1970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+[1]BS17A!$D1971</f>
        <v>0</v>
      </c>
      <c r="D272" s="24">
        <f>+[1]BS17A!$U1971</f>
        <v>1378400</v>
      </c>
      <c r="E272" s="146">
        <f>+[1]BS17A!$V1971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+[1]BS17A!$D1972</f>
        <v>0</v>
      </c>
      <c r="D273" s="24">
        <f>+[1]BS17A!$U1972</f>
        <v>322300</v>
      </c>
      <c r="E273" s="146">
        <f>+[1]BS17A!$V1972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+[1]BS17A!$D1973</f>
        <v>0</v>
      </c>
      <c r="D274" s="24">
        <f>+[1]BS17A!$U1973</f>
        <v>1079720</v>
      </c>
      <c r="E274" s="146">
        <f>+[1]BS17A!$V1973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+[1]BS17A!$D1974</f>
        <v>0</v>
      </c>
      <c r="D275" s="24">
        <f>+[1]BS17A!$U1974</f>
        <v>661000</v>
      </c>
      <c r="E275" s="146">
        <f>+[1]BS17A!$V1974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+[1]BS17A!$D1975</f>
        <v>0</v>
      </c>
      <c r="D276" s="31">
        <f>+[1]BS17A!$U1975</f>
        <v>539420</v>
      </c>
      <c r="E276" s="198">
        <f>+[1]BS17A!$V1975</f>
        <v>0</v>
      </c>
      <c r="F276" s="8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+[1]BS17A!$D1976</f>
        <v>0</v>
      </c>
      <c r="D278" s="20">
        <f>[1]BS17A!U1976</f>
        <v>290780</v>
      </c>
      <c r="E278" s="202">
        <f>+[1]BS17A!$V1976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+[1]BS17A!$D1977</f>
        <v>0</v>
      </c>
      <c r="D279" s="24">
        <f>[1]BS17A!U1977</f>
        <v>169530</v>
      </c>
      <c r="E279" s="146">
        <f>+[1]BS17A!$V1977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+[1]BS17A!$D1978</f>
        <v>0</v>
      </c>
      <c r="D280" s="24">
        <f>[1]BS17A!U1978</f>
        <v>409630</v>
      </c>
      <c r="E280" s="146">
        <f>+[1]BS17A!$V1978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+[1]BS17A!$D1979</f>
        <v>0</v>
      </c>
      <c r="D281" s="24">
        <f>[1]BS17A!U1979</f>
        <v>424500</v>
      </c>
      <c r="E281" s="146">
        <f>+[1]BS17A!$V1979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+[1]BS17A!$D1980</f>
        <v>0</v>
      </c>
      <c r="D282" s="40">
        <f>[1]BS17A!U1980</f>
        <v>265260</v>
      </c>
      <c r="E282" s="153">
        <f>+[1]BS17A!$V1980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+[1]BS17A!$D1981</f>
        <v>0</v>
      </c>
      <c r="D283" s="207">
        <f>[1]BS17A!U1981</f>
        <v>36070</v>
      </c>
      <c r="E283" s="192">
        <f>+[1]BS17A!$V1981</f>
        <v>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0</v>
      </c>
      <c r="D284" s="151"/>
      <c r="E284" s="152">
        <f>SUM(E244:E283)</f>
        <v>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8"/>
    </row>
    <row r="288" spans="1:10" ht="44.25" customHeight="1" x14ac:dyDescent="0.2">
      <c r="A288" s="11" t="s">
        <v>8</v>
      </c>
      <c r="B288" s="11" t="s">
        <v>426</v>
      </c>
      <c r="C288" s="12" t="s">
        <v>347</v>
      </c>
      <c r="D288" s="13" t="s">
        <v>11</v>
      </c>
      <c r="E288" s="14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+[1]BS17A!$D1983</f>
        <v>0</v>
      </c>
      <c r="D289" s="37">
        <f>+[1]BS17A!$U1983</f>
        <v>7100</v>
      </c>
      <c r="E289" s="145">
        <f>+[1]BS17A!$V1983</f>
        <v>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+[1]BS17A!$D1984</f>
        <v>0</v>
      </c>
      <c r="D290" s="24">
        <f>+[1]BS17A!$U1984</f>
        <v>3780</v>
      </c>
      <c r="E290" s="146">
        <f>+[1]BS17A!$V1984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+[1]BS17A!$D1985</f>
        <v>0</v>
      </c>
      <c r="D291" s="24">
        <f>+[1]BS17A!$U1985</f>
        <v>14240</v>
      </c>
      <c r="E291" s="146">
        <f>+[1]BS17A!$V1985</f>
        <v>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+[1]BS17A!$D1986</f>
        <v>0</v>
      </c>
      <c r="D292" s="24">
        <f>+[1]BS17A!$U1986</f>
        <v>146040</v>
      </c>
      <c r="E292" s="146">
        <f>+[1]BS17A!$V1986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+[1]BS17A!$D1987</f>
        <v>0</v>
      </c>
      <c r="D293" s="40">
        <f>+[1]BS17A!$U1987</f>
        <v>802130</v>
      </c>
      <c r="E293" s="153">
        <f>+[1]BS17A!$V1987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0</v>
      </c>
      <c r="D294" s="57"/>
      <c r="E294" s="107">
        <f>SUM(E289:E293)</f>
        <v>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56" t="s">
        <v>438</v>
      </c>
      <c r="B297" s="757"/>
      <c r="C297" s="757"/>
      <c r="D297" s="757"/>
      <c r="E297" s="758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14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+[1]BS17A!$D1863</f>
        <v>0</v>
      </c>
      <c r="D299" s="37">
        <f>+[1]BS17A!$U1863</f>
        <v>18980</v>
      </c>
      <c r="E299" s="145">
        <f>+[1]BS17A!$V1863</f>
        <v>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+[1]BS17A!$D1864</f>
        <v>0</v>
      </c>
      <c r="D300" s="24">
        <f>+[1]BS17A!$U1864</f>
        <v>59710</v>
      </c>
      <c r="E300" s="146">
        <f>+[1]BS17A!$V1864</f>
        <v>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+[1]BS17A!$D1865</f>
        <v>0</v>
      </c>
      <c r="D301" s="24">
        <f>+[1]BS17A!$U1865</f>
        <v>74020</v>
      </c>
      <c r="E301" s="146">
        <f>+[1]BS17A!$V1865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+[1]BS17A!$D1866</f>
        <v>0</v>
      </c>
      <c r="D302" s="24">
        <f>+[1]BS17A!$U1866</f>
        <v>2600</v>
      </c>
      <c r="E302" s="146">
        <f>+[1]BS17A!$V1866</f>
        <v>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+[1]BS17A!$D1867</f>
        <v>0</v>
      </c>
      <c r="D303" s="24">
        <f>+[1]BS17A!$U1867</f>
        <v>70</v>
      </c>
      <c r="E303" s="146">
        <f>+[1]BS17A!$V1867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+[1]BS17A!$D1868</f>
        <v>0</v>
      </c>
      <c r="D304" s="24">
        <f>+[1]BS17A!$U1868</f>
        <v>157140</v>
      </c>
      <c r="E304" s="146">
        <f>+[1]BS17A!$V1868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+[1]BS17A!$D1869</f>
        <v>0</v>
      </c>
      <c r="D305" s="40">
        <f>+[1]BS17A!$U1869</f>
        <v>10680</v>
      </c>
      <c r="E305" s="153">
        <f>+[1]BS17A!$V1869</f>
        <v>0</v>
      </c>
      <c r="F305" s="8"/>
    </row>
    <row r="306" spans="1:7" ht="15" customHeight="1" x14ac:dyDescent="0.2">
      <c r="A306" s="96"/>
      <c r="B306" s="771" t="s">
        <v>454</v>
      </c>
      <c r="C306" s="772"/>
      <c r="D306" s="191"/>
      <c r="E306" s="220">
        <f>SUM(E299:E305)</f>
        <v>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45" t="s">
        <v>455</v>
      </c>
      <c r="B309" s="746"/>
      <c r="C309" s="746"/>
      <c r="D309" s="746"/>
      <c r="E309" s="747"/>
      <c r="F309" s="178"/>
      <c r="G309" s="185"/>
    </row>
    <row r="310" spans="1:7" ht="12.75" x14ac:dyDescent="0.2">
      <c r="A310" s="221"/>
      <c r="B310" s="768" t="s">
        <v>456</v>
      </c>
      <c r="C310" s="769"/>
      <c r="D310" s="770"/>
      <c r="E310" s="222">
        <f>+E235+E240+E284+E294+E306</f>
        <v>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45" t="s">
        <v>457</v>
      </c>
      <c r="B313" s="746"/>
      <c r="C313" s="746"/>
      <c r="D313" s="746"/>
      <c r="E313" s="747"/>
      <c r="F313" s="178"/>
      <c r="G313" s="185"/>
    </row>
    <row r="314" spans="1:7" ht="25.5" x14ac:dyDescent="0.2">
      <c r="A314" s="756" t="s">
        <v>458</v>
      </c>
      <c r="B314" s="757"/>
      <c r="C314" s="757"/>
      <c r="D314" s="758"/>
      <c r="E314" s="11" t="s">
        <v>12</v>
      </c>
      <c r="F314" s="178"/>
      <c r="G314" s="185"/>
    </row>
    <row r="315" spans="1:7" ht="15" customHeight="1" x14ac:dyDescent="0.2">
      <c r="A315" s="221"/>
      <c r="B315" s="768" t="s">
        <v>459</v>
      </c>
      <c r="C315" s="769"/>
      <c r="D315" s="770"/>
      <c r="E315" s="222">
        <f>+E50+E76+E84+F109+E116+C121+E148+E155+E168+E207+E221+C228+E310</f>
        <v>0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45" t="s">
        <v>460</v>
      </c>
      <c r="B318" s="746"/>
      <c r="C318" s="747"/>
      <c r="D318" s="8"/>
      <c r="E318" s="8"/>
      <c r="F318" s="5"/>
    </row>
    <row r="319" spans="1:7" ht="18" customHeight="1" x14ac:dyDescent="0.2">
      <c r="A319" s="756" t="s">
        <v>461</v>
      </c>
      <c r="B319" s="757"/>
      <c r="C319" s="758"/>
      <c r="D319" s="8"/>
      <c r="E319" s="8"/>
      <c r="F319" s="5"/>
    </row>
    <row r="320" spans="1:7" ht="30.75" customHeight="1" x14ac:dyDescent="0.2">
      <c r="A320" s="745" t="s">
        <v>462</v>
      </c>
      <c r="B320" s="746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/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/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0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74">
        <f>[1]NOMBRE!B12</f>
        <v>0</v>
      </c>
      <c r="F338" s="774"/>
    </row>
    <row r="339" spans="1:6" ht="12.75" x14ac:dyDescent="0.2">
      <c r="A339" s="186"/>
      <c r="B339" s="186"/>
      <c r="C339" s="186"/>
      <c r="D339" s="188"/>
      <c r="E339" s="773" t="str">
        <f>[1]NOMBRE!A12</f>
        <v>Jefe de Estadisticas</v>
      </c>
      <c r="F339" s="773"/>
    </row>
    <row r="340" spans="1:6" ht="12.75" x14ac:dyDescent="0.2">
      <c r="A340" s="186"/>
      <c r="B340" s="186"/>
      <c r="C340" s="186"/>
      <c r="D340" s="186"/>
      <c r="E340" s="23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74">
        <f>[1]NOMBRE!B11</f>
        <v>0</v>
      </c>
      <c r="F347" s="774"/>
    </row>
    <row r="348" spans="1:6" ht="22.5" customHeight="1" x14ac:dyDescent="0.2">
      <c r="A348" s="186"/>
      <c r="B348" s="186"/>
      <c r="C348" s="186"/>
      <c r="D348" s="215"/>
      <c r="E348" s="773" t="str">
        <f>CONCATENATE("Director ",[1]NOMBRE!B1)</f>
        <v xml:space="preserve">Director </v>
      </c>
      <c r="F348" s="773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16" sqref="B16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42" t="s">
        <v>1</v>
      </c>
      <c r="D1" s="743"/>
      <c r="E1" s="744"/>
      <c r="F1" s="3"/>
    </row>
    <row r="2" spans="1:7" ht="12.75" x14ac:dyDescent="0.2">
      <c r="A2" s="1" t="str">
        <f>CONCATENATE("COMUNA: ",[9]NOMBRE!B2," - ","( ",[9]NOMBRE!C2,[9]NOMBRE!D2,[9]NOMBRE!E2,[9]NOMBRE!F2,[9]NOMBRE!G2," )")</f>
        <v>COMUNA: Linares - ( 07401 )</v>
      </c>
      <c r="B2" s="2"/>
      <c r="C2" s="739"/>
      <c r="D2" s="740"/>
      <c r="E2" s="741"/>
      <c r="F2" s="5"/>
      <c r="G2" s="6"/>
    </row>
    <row r="3" spans="1:7" ht="12.75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Ibáñez del Campo - ( 116108 )</v>
      </c>
      <c r="B3" s="2"/>
      <c r="C3" s="742" t="s">
        <v>2</v>
      </c>
      <c r="D3" s="743"/>
      <c r="E3" s="744"/>
      <c r="F3" s="5"/>
      <c r="G3" s="7"/>
    </row>
    <row r="4" spans="1:7" ht="12.75" x14ac:dyDescent="0.2">
      <c r="A4" s="1" t="str">
        <f>CONCATENATE("MES: ",[9]NOMBRE!B6," - ","( ",[9]NOMBRE!C6,[9]NOMBRE!D6," )")</f>
        <v>MES: SEPTIEMBRE - ( 09 )</v>
      </c>
      <c r="B4" s="2"/>
      <c r="C4" s="739" t="str">
        <f>CONCATENATE([9]NOMBRE!B6," ","( ",[9]NOMBRE!C6,[9]NOMBRE!D6," )")</f>
        <v>SEPTIEMBRE ( 09 )</v>
      </c>
      <c r="D4" s="740"/>
      <c r="E4" s="741"/>
      <c r="F4" s="5"/>
      <c r="G4" s="7"/>
    </row>
    <row r="5" spans="1:7" ht="12.75" x14ac:dyDescent="0.2">
      <c r="A5" s="1" t="str">
        <f>CONCATENATE("AÑO: ",[9]NOMBRE!B7)</f>
        <v>AÑO: 2015</v>
      </c>
      <c r="B5" s="2"/>
      <c r="C5" s="742" t="s">
        <v>3</v>
      </c>
      <c r="D5" s="743"/>
      <c r="E5" s="744"/>
      <c r="F5" s="5"/>
      <c r="G5" s="7"/>
    </row>
    <row r="6" spans="1:7" ht="12.75" x14ac:dyDescent="0.2">
      <c r="A6" s="8"/>
      <c r="B6" s="8"/>
      <c r="C6" s="739">
        <f>[9]NOMBRE!B7</f>
        <v>2015</v>
      </c>
      <c r="D6" s="740"/>
      <c r="E6" s="741"/>
      <c r="F6" s="5"/>
      <c r="G6" s="7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5"/>
      <c r="G7" s="7"/>
    </row>
    <row r="8" spans="1:7" ht="15" x14ac:dyDescent="0.2">
      <c r="A8" s="8"/>
      <c r="B8" s="254" t="s">
        <v>6</v>
      </c>
      <c r="C8" s="739" t="str">
        <f>CONCATENATE([9]NOMBRE!B3," ","( ",[9]NOMBRE!C3,[9]NOMBRE!D3,[9]NOMBRE!E3,[9]NOMBRE!F3,[9]NOMBRE!G3," )")</f>
        <v>Hospital Presidente Carlos Ibáñez del Campo ( 11610 )</v>
      </c>
      <c r="D8" s="740"/>
      <c r="E8" s="741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53" t="s">
        <v>7</v>
      </c>
      <c r="B11" s="754"/>
      <c r="C11" s="754"/>
      <c r="D11" s="754"/>
      <c r="E11" s="755"/>
      <c r="F11" s="5"/>
    </row>
    <row r="12" spans="1:7" ht="43.5" customHeight="1" x14ac:dyDescent="0.2">
      <c r="A12" s="11" t="s">
        <v>8</v>
      </c>
      <c r="B12" s="11" t="s">
        <v>9</v>
      </c>
      <c r="C12" s="249" t="s">
        <v>10</v>
      </c>
      <c r="D12" s="13" t="s">
        <v>11</v>
      </c>
      <c r="E12" s="251" t="s">
        <v>12</v>
      </c>
      <c r="F12" s="8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8"/>
    </row>
    <row r="14" spans="1:7" ht="15" customHeight="1" x14ac:dyDescent="0.2">
      <c r="A14" s="17" t="s">
        <v>14</v>
      </c>
      <c r="B14" s="18" t="s">
        <v>15</v>
      </c>
      <c r="C14" s="19">
        <f>[9]BS17A!$D13</f>
        <v>0</v>
      </c>
      <c r="D14" s="20">
        <f>[9]BS17A!$U13</f>
        <v>4300</v>
      </c>
      <c r="E14" s="21">
        <f>[9]BS17A!$V13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[9]BS17A!$D14</f>
        <v>0</v>
      </c>
      <c r="D15" s="24">
        <f>[9]BS17A!$U14</f>
        <v>5400</v>
      </c>
      <c r="E15" s="25">
        <f>[9]BS17A!$V14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[9]BS17A!$D15</f>
        <v>5874</v>
      </c>
      <c r="D16" s="24">
        <f>[9]BS17A!$U15</f>
        <v>11590</v>
      </c>
      <c r="E16" s="25">
        <f>[9]BS17A!$V15</f>
        <v>68079660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[9]BS17A!$D16</f>
        <v>0</v>
      </c>
      <c r="D17" s="24">
        <f>[9]BS17A!$U16</f>
        <v>6920</v>
      </c>
      <c r="E17" s="25">
        <f>[9]BS17A!$V16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[9]BS17A!$D17</f>
        <v>0</v>
      </c>
      <c r="D18" s="24">
        <f>[9]BS17A!$U17</f>
        <v>7590</v>
      </c>
      <c r="E18" s="25">
        <f>[9]BS17A!$V17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[9]BS17A!$D20</f>
        <v>0</v>
      </c>
      <c r="D19" s="24">
        <f>[9]BS17A!$U20</f>
        <v>5860</v>
      </c>
      <c r="E19" s="25">
        <f>[9]BS17A!$V20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[9]BS17A!$D21</f>
        <v>0</v>
      </c>
      <c r="D20" s="24">
        <f>[9]BS17A!$U21</f>
        <v>7020</v>
      </c>
      <c r="E20" s="25">
        <f>[9]BS17A!$V21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[9]BS17A!$D22</f>
        <v>0</v>
      </c>
      <c r="D21" s="24">
        <f>[9]BS17A!$U22</f>
        <v>8710</v>
      </c>
      <c r="E21" s="25">
        <f>[9]BS17A!$V22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[9]BS17A!$D23</f>
        <v>2041</v>
      </c>
      <c r="D22" s="24">
        <f>[9]BS17A!$U23</f>
        <v>5860</v>
      </c>
      <c r="E22" s="25">
        <f>[9]BS17A!$V23</f>
        <v>11960260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[9]BS17A!$D24</f>
        <v>1116</v>
      </c>
      <c r="D23" s="24">
        <f>[9]BS17A!$U24</f>
        <v>7020</v>
      </c>
      <c r="E23" s="25">
        <f>[9]BS17A!$V24</f>
        <v>7834320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[9]BS17A!$D25</f>
        <v>2586</v>
      </c>
      <c r="D24" s="24">
        <f>[9]BS17A!$U25</f>
        <v>8710</v>
      </c>
      <c r="E24" s="25">
        <f>[9]BS17A!$V25</f>
        <v>22524060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+[9]BS17A!$D795</f>
        <v>294</v>
      </c>
      <c r="D25" s="24">
        <f>+[9]BS17A!$U795</f>
        <v>7110</v>
      </c>
      <c r="E25" s="25">
        <f>+[9]BS17A!$V795</f>
        <v>2090340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+[9]BS17A!$D800</f>
        <v>0</v>
      </c>
      <c r="D26" s="31">
        <f>+[9]BS17A!$U800</f>
        <v>29440</v>
      </c>
      <c r="E26" s="32">
        <f>+[9]BS17A!$V800</f>
        <v>0</v>
      </c>
      <c r="F26" s="8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8"/>
    </row>
    <row r="28" spans="1:6" ht="15" customHeight="1" x14ac:dyDescent="0.2">
      <c r="A28" s="17" t="s">
        <v>41</v>
      </c>
      <c r="B28" s="18" t="s">
        <v>42</v>
      </c>
      <c r="C28" s="33">
        <f>[9]BS17A!$D27</f>
        <v>1994</v>
      </c>
      <c r="D28" s="20">
        <f>[9]BS17A!$U27</f>
        <v>1140</v>
      </c>
      <c r="E28" s="21">
        <f>[9]BS17A!$V27</f>
        <v>2273160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[9]BS17A!$D28</f>
        <v>0</v>
      </c>
      <c r="D29" s="24">
        <f>[9]BS17A!$U28</f>
        <v>1960</v>
      </c>
      <c r="E29" s="25">
        <f>[9]BS17A!$V28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[9]BS17A!$D29</f>
        <v>0</v>
      </c>
      <c r="D30" s="24">
        <f>[9]BS17A!$U29</f>
        <v>630</v>
      </c>
      <c r="E30" s="25">
        <f>[9]BS17A!$V29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[9]BS17A!$D30</f>
        <v>150</v>
      </c>
      <c r="D31" s="24">
        <f>[9]BS17A!$U30</f>
        <v>1550</v>
      </c>
      <c r="E31" s="25">
        <f>[9]BS17A!$V30</f>
        <v>232500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[9]BS17A!$D31</f>
        <v>1497</v>
      </c>
      <c r="D32" s="24">
        <f>[9]BS17A!$U31</f>
        <v>1250</v>
      </c>
      <c r="E32" s="25">
        <f>[9]BS17A!$V31</f>
        <v>1871250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[9]BS17A!$D32</f>
        <v>0</v>
      </c>
      <c r="D33" s="24">
        <f>[9]BS17A!$U32</f>
        <v>1140</v>
      </c>
      <c r="E33" s="25">
        <f>[9]BS17A!$V32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+[9]BS17A!$D796</f>
        <v>233</v>
      </c>
      <c r="D34" s="24">
        <f>+[9]BS17A!$U796</f>
        <v>2780</v>
      </c>
      <c r="E34" s="25">
        <f>+[9]BS17A!$V796</f>
        <v>647740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+[9]BS17A!$D797</f>
        <v>633</v>
      </c>
      <c r="D35" s="24">
        <f>+[9]BS17A!$U797</f>
        <v>2780</v>
      </c>
      <c r="E35" s="25">
        <f>+[9]BS17A!$V797</f>
        <v>1759740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+[9]BS17A!$D798</f>
        <v>7</v>
      </c>
      <c r="D36" s="24">
        <f>+[9]BS17A!$U798</f>
        <v>11080</v>
      </c>
      <c r="E36" s="25">
        <f>+[9]BS17A!$V798</f>
        <v>77560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+[9]BS17A!$D799</f>
        <v>14</v>
      </c>
      <c r="D37" s="31">
        <f>+[9]BS17A!$U799</f>
        <v>12980</v>
      </c>
      <c r="E37" s="32">
        <f>+[9]BS17A!$V799</f>
        <v>181720</v>
      </c>
      <c r="F37" s="8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8"/>
    </row>
    <row r="39" spans="1:6" ht="15" customHeight="1" x14ac:dyDescent="0.2">
      <c r="A39" s="17" t="s">
        <v>62</v>
      </c>
      <c r="B39" s="36" t="s">
        <v>63</v>
      </c>
      <c r="C39" s="33">
        <f>+[9]BS17A!$D801</f>
        <v>0</v>
      </c>
      <c r="D39" s="37">
        <f>+[9]BS17A!$U801</f>
        <v>3657</v>
      </c>
      <c r="E39" s="38">
        <f>+[9]BS17A!$V801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+[9]BS17A!$D802</f>
        <v>0</v>
      </c>
      <c r="D40" s="40">
        <f>+[9]BS17A!$U802</f>
        <v>9455</v>
      </c>
      <c r="E40" s="41">
        <f>+[9]BS17A!$V802</f>
        <v>0</v>
      </c>
      <c r="F40" s="8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8"/>
    </row>
    <row r="42" spans="1:6" ht="15" customHeight="1" x14ac:dyDescent="0.2">
      <c r="A42" s="17" t="s">
        <v>67</v>
      </c>
      <c r="B42" s="42" t="s">
        <v>68</v>
      </c>
      <c r="C42" s="33">
        <f>+[9]BS17A!$D34</f>
        <v>8</v>
      </c>
      <c r="D42" s="37">
        <f>+[9]BS17A!$U34</f>
        <v>3750</v>
      </c>
      <c r="E42" s="38">
        <f>+[9]BS17A!$V34</f>
        <v>30000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+[9]BS17A!$D35</f>
        <v>469</v>
      </c>
      <c r="D43" s="24">
        <f>+[9]BS17A!$U35</f>
        <v>2060</v>
      </c>
      <c r="E43" s="25">
        <f>+[9]BS17A!$V35</f>
        <v>966140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+[9]BS17A!$D36</f>
        <v>0</v>
      </c>
      <c r="D44" s="24">
        <f>+[9]BS17A!$U36</f>
        <v>2060</v>
      </c>
      <c r="E44" s="25">
        <f>+[9]BS17A!$V36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+[9]BS17A!$D37</f>
        <v>489</v>
      </c>
      <c r="D45" s="40">
        <f>+[9]BS17A!$U37</f>
        <v>630</v>
      </c>
      <c r="E45" s="41">
        <f>+[9]BS17A!$V37</f>
        <v>308070</v>
      </c>
      <c r="F45" s="8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8"/>
    </row>
    <row r="47" spans="1:6" ht="15" customHeight="1" x14ac:dyDescent="0.2">
      <c r="A47" s="17" t="s">
        <v>76</v>
      </c>
      <c r="B47" s="42" t="s">
        <v>77</v>
      </c>
      <c r="C47" s="33">
        <f>+[9]BS17A!$D39</f>
        <v>143</v>
      </c>
      <c r="D47" s="37">
        <f>+[9]BS17A!$U39</f>
        <v>1780</v>
      </c>
      <c r="E47" s="38">
        <f>+[9]BS17A!$V39</f>
        <v>254540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+[9]BS17A!$D40</f>
        <v>49</v>
      </c>
      <c r="D48" s="24">
        <f>+[9]BS17A!$U40</f>
        <v>1780</v>
      </c>
      <c r="E48" s="25">
        <f>+[9]BS17A!$V40</f>
        <v>87220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+[9]BS17A!$D41</f>
        <v>161</v>
      </c>
      <c r="D49" s="40">
        <f>+[9]BS17A!$U41</f>
        <v>1030</v>
      </c>
      <c r="E49" s="41">
        <f>+[9]BS17A!$V41</f>
        <v>165830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17758</v>
      </c>
      <c r="D50" s="46"/>
      <c r="E50" s="47">
        <f>SUM(E14:E49)</f>
        <v>121344110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9" t="s">
        <v>83</v>
      </c>
      <c r="B53" s="760"/>
      <c r="C53" s="760"/>
      <c r="D53" s="760"/>
      <c r="E53" s="761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249" t="s">
        <v>10</v>
      </c>
      <c r="D54" s="53"/>
      <c r="E54" s="251" t="s">
        <v>12</v>
      </c>
      <c r="F54" s="8"/>
    </row>
    <row r="55" spans="1:7" ht="18" customHeight="1" x14ac:dyDescent="0.2">
      <c r="A55" s="253" t="s">
        <v>85</v>
      </c>
      <c r="B55" s="55" t="s">
        <v>86</v>
      </c>
      <c r="C55" s="56">
        <f>+[9]BS17!$D12</f>
        <v>66522</v>
      </c>
      <c r="D55" s="57"/>
      <c r="E55" s="58">
        <f>+E56+E57+E58+E59+E60+E61+E65+E66+E67</f>
        <v>95316640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+[9]BS17!$D13</f>
        <v>26260</v>
      </c>
      <c r="D56" s="61"/>
      <c r="E56" s="62">
        <f>+[9]BS17A!V83</f>
        <v>26745750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+[9]BS17!$D14</f>
        <v>28280</v>
      </c>
      <c r="D57" s="63"/>
      <c r="E57" s="64">
        <f>+[9]BS17A!V174</f>
        <v>35285690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+[9]BS17!$D15</f>
        <v>1043</v>
      </c>
      <c r="D58" s="63"/>
      <c r="E58" s="64">
        <f>+[9]BS17A!V243</f>
        <v>3732070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+[9]BS17!$D16</f>
        <v>0</v>
      </c>
      <c r="D59" s="63"/>
      <c r="E59" s="64">
        <f>+[9]BS17A!V289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+[9]BS17!$D17</f>
        <v>1744</v>
      </c>
      <c r="D60" s="67"/>
      <c r="E60" s="68">
        <f>+[9]BS17A!V295</f>
        <v>8303150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+[9]BS17!$D18</f>
        <v>6268</v>
      </c>
      <c r="D61" s="71"/>
      <c r="E61" s="72">
        <f>SUM(E62:E64)</f>
        <v>17377860</v>
      </c>
      <c r="F61" s="8"/>
    </row>
    <row r="62" spans="1:7" ht="15" customHeight="1" x14ac:dyDescent="0.2">
      <c r="A62" s="73"/>
      <c r="B62" s="42" t="s">
        <v>99</v>
      </c>
      <c r="C62" s="33">
        <f>+[9]BS17!$D19</f>
        <v>4587</v>
      </c>
      <c r="D62" s="74"/>
      <c r="E62" s="75">
        <f>+[9]BS17A!V362</f>
        <v>10545640</v>
      </c>
      <c r="F62" s="8"/>
    </row>
    <row r="63" spans="1:7" ht="15" customHeight="1" x14ac:dyDescent="0.2">
      <c r="A63" s="73"/>
      <c r="B63" s="27" t="s">
        <v>100</v>
      </c>
      <c r="C63" s="19">
        <f>+[9]BS17!$D20</f>
        <v>51</v>
      </c>
      <c r="D63" s="63"/>
      <c r="E63" s="64">
        <f>+[9]BS17A!V405</f>
        <v>147360</v>
      </c>
      <c r="F63" s="8"/>
    </row>
    <row r="64" spans="1:7" ht="15" customHeight="1" x14ac:dyDescent="0.2">
      <c r="A64" s="76"/>
      <c r="B64" s="43" t="s">
        <v>101</v>
      </c>
      <c r="C64" s="30">
        <f>+[9]BS17!$D21</f>
        <v>1630</v>
      </c>
      <c r="D64" s="77"/>
      <c r="E64" s="78">
        <f>+[9]BS17A!V428</f>
        <v>6684860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+[9]BS17!$D22</f>
        <v>0</v>
      </c>
      <c r="D65" s="61"/>
      <c r="E65" s="62">
        <f>+[9]BS17A!V446</f>
        <v>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+[9]BS17!$D23</f>
        <v>42</v>
      </c>
      <c r="D66" s="63"/>
      <c r="E66" s="64">
        <f>+[9]BS17A!V456</f>
        <v>82960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+[9]BS17!$D24</f>
        <v>2885</v>
      </c>
      <c r="D67" s="67"/>
      <c r="E67" s="68">
        <f>+[9]BS17A!V500</f>
        <v>3789160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+[9]BS17!$D25</f>
        <v>4513</v>
      </c>
      <c r="D68" s="83"/>
      <c r="E68" s="84">
        <f>SUM(E69:E74)</f>
        <v>79412700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+[9]BS17!$D26</f>
        <v>3028</v>
      </c>
      <c r="D69" s="63"/>
      <c r="E69" s="64">
        <f>+[9]BS17A!V535</f>
        <v>24809050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+[9]BS17!$D27</f>
        <v>6</v>
      </c>
      <c r="D70" s="63"/>
      <c r="E70" s="64">
        <f>+[9]BS17A!V590</f>
        <v>129380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+[9]BS17!$D28</f>
        <v>856</v>
      </c>
      <c r="D71" s="63"/>
      <c r="E71" s="64">
        <f>+[9]BS17A!V615</f>
        <v>45548620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+[9]BS17!$D30+[9]BS17!$D32</f>
        <v>505</v>
      </c>
      <c r="D72" s="63"/>
      <c r="E72" s="64">
        <f>+[9]BS17A!V633-[9]BS17A!V634</f>
        <v>8307330</v>
      </c>
      <c r="F72" s="8"/>
    </row>
    <row r="73" spans="1:7" ht="15" customHeight="1" x14ac:dyDescent="0.2">
      <c r="A73" s="85"/>
      <c r="B73" s="27" t="s">
        <v>118</v>
      </c>
      <c r="C73" s="19">
        <f>+[9]BS17!$D31</f>
        <v>118</v>
      </c>
      <c r="D73" s="63"/>
      <c r="E73" s="64">
        <f>+[9]BS17A!V634</f>
        <v>618320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+[9]BS17!$D33</f>
        <v>0</v>
      </c>
      <c r="D74" s="89"/>
      <c r="E74" s="90">
        <f>+[9]BS17A!V654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+[9]BS17!$D34</f>
        <v>0</v>
      </c>
      <c r="D75" s="94"/>
      <c r="E75" s="95">
        <f>+[9]BS17A!V783</f>
        <v>0</v>
      </c>
      <c r="F75" s="8"/>
    </row>
    <row r="76" spans="1:7" ht="15" customHeight="1" x14ac:dyDescent="0.2">
      <c r="A76" s="96"/>
      <c r="B76" s="252" t="s">
        <v>123</v>
      </c>
      <c r="C76" s="56">
        <f>+C55+C68+C75</f>
        <v>71035</v>
      </c>
      <c r="D76" s="57"/>
      <c r="E76" s="98">
        <f>+E55+E68+E75</f>
        <v>174729340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53" t="s">
        <v>124</v>
      </c>
      <c r="B79" s="754"/>
      <c r="C79" s="754"/>
      <c r="D79" s="754"/>
      <c r="E79" s="755"/>
      <c r="F79" s="51"/>
      <c r="G79" s="52"/>
    </row>
    <row r="80" spans="1:7" ht="45" customHeight="1" x14ac:dyDescent="0.2">
      <c r="A80" s="11" t="s">
        <v>8</v>
      </c>
      <c r="B80" s="250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+[9]BS17!D49</f>
        <v>0</v>
      </c>
      <c r="D81" s="61"/>
      <c r="E81" s="103">
        <f>+SUM([9]BS17A!V673+[9]BS17A!V719)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+[9]BS17!E130</f>
        <v>1299</v>
      </c>
      <c r="D82" s="63"/>
      <c r="E82" s="105">
        <f>+[9]BS17A!V1574</f>
        <v>11194540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+[9]BS17A!D1849</f>
        <v>22</v>
      </c>
      <c r="D83" s="67"/>
      <c r="E83" s="106">
        <f>+[9]BS17A!V1849</f>
        <v>1563480</v>
      </c>
      <c r="F83" s="8"/>
    </row>
    <row r="84" spans="1:6" ht="17.25" customHeight="1" x14ac:dyDescent="0.2">
      <c r="A84" s="96"/>
      <c r="B84" s="252" t="s">
        <v>130</v>
      </c>
      <c r="C84" s="56">
        <f>+SUM(C81:C83)</f>
        <v>1321</v>
      </c>
      <c r="D84" s="57"/>
      <c r="E84" s="107">
        <f>SUM(E81:E83)</f>
        <v>12758020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250" t="s">
        <v>132</v>
      </c>
      <c r="D89" s="108" t="s">
        <v>133</v>
      </c>
      <c r="E89" s="13" t="s">
        <v>134</v>
      </c>
      <c r="F89" s="251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+[9]BS17!F68</f>
        <v>2</v>
      </c>
      <c r="D90" s="110">
        <f>+[9]BS17!G68</f>
        <v>0</v>
      </c>
      <c r="E90" s="111">
        <f>+[9]BS17!H68</f>
        <v>0</v>
      </c>
      <c r="F90" s="112">
        <f>[9]BS17A!V811</f>
        <v>307800</v>
      </c>
    </row>
    <row r="91" spans="1:6" ht="15" customHeight="1" x14ac:dyDescent="0.2">
      <c r="A91" s="22" t="s">
        <v>137</v>
      </c>
      <c r="B91" s="27" t="s">
        <v>138</v>
      </c>
      <c r="C91" s="113">
        <f>+[9]BS17!F69</f>
        <v>124</v>
      </c>
      <c r="D91" s="114">
        <f>+[9]BS17!G69</f>
        <v>0</v>
      </c>
      <c r="E91" s="115">
        <f>+[9]BS17!H69</f>
        <v>0</v>
      </c>
      <c r="F91" s="116">
        <f>[9]BS17A!V882</f>
        <v>21912730</v>
      </c>
    </row>
    <row r="92" spans="1:6" ht="15" customHeight="1" x14ac:dyDescent="0.2">
      <c r="A92" s="22" t="s">
        <v>139</v>
      </c>
      <c r="B92" s="27" t="s">
        <v>140</v>
      </c>
      <c r="C92" s="113">
        <f>+[9]BS17!F70</f>
        <v>15</v>
      </c>
      <c r="D92" s="114">
        <f>+[9]BS17!G70</f>
        <v>1</v>
      </c>
      <c r="E92" s="115">
        <f>+[9]BS17!H70</f>
        <v>1</v>
      </c>
      <c r="F92" s="116">
        <f>[9]BS17A!V961</f>
        <v>2058167.5</v>
      </c>
    </row>
    <row r="93" spans="1:6" ht="15" customHeight="1" x14ac:dyDescent="0.2">
      <c r="A93" s="22" t="s">
        <v>141</v>
      </c>
      <c r="B93" s="27" t="s">
        <v>142</v>
      </c>
      <c r="C93" s="113">
        <f>+[9]BS17!F71</f>
        <v>5</v>
      </c>
      <c r="D93" s="114">
        <f>+[9]BS17!G71</f>
        <v>0</v>
      </c>
      <c r="E93" s="115">
        <f>+[9]BS17!H71</f>
        <v>0</v>
      </c>
      <c r="F93" s="116">
        <f>[9]BS17A!V1037</f>
        <v>525320</v>
      </c>
    </row>
    <row r="94" spans="1:6" ht="15" customHeight="1" x14ac:dyDescent="0.2">
      <c r="A94" s="22" t="s">
        <v>143</v>
      </c>
      <c r="B94" s="27" t="s">
        <v>144</v>
      </c>
      <c r="C94" s="113">
        <f>+[9]BS17!F72</f>
        <v>35</v>
      </c>
      <c r="D94" s="114">
        <f>+[9]BS17!G72</f>
        <v>3</v>
      </c>
      <c r="E94" s="115">
        <f>+[9]BS17!H72</f>
        <v>2</v>
      </c>
      <c r="F94" s="116">
        <f>[9]BS17A!V1098</f>
        <v>1679765</v>
      </c>
    </row>
    <row r="95" spans="1:6" ht="15" customHeight="1" x14ac:dyDescent="0.2">
      <c r="A95" s="22" t="s">
        <v>145</v>
      </c>
      <c r="B95" s="27" t="s">
        <v>146</v>
      </c>
      <c r="C95" s="113">
        <f>+[9]BS17!F73</f>
        <v>71</v>
      </c>
      <c r="D95" s="114">
        <f>+[9]BS17!G73</f>
        <v>0</v>
      </c>
      <c r="E95" s="115">
        <f>+[9]BS17!H73</f>
        <v>0</v>
      </c>
      <c r="F95" s="116">
        <f>[9]BS17A!V1166</f>
        <v>1273400</v>
      </c>
    </row>
    <row r="96" spans="1:6" ht="15" customHeight="1" x14ac:dyDescent="0.2">
      <c r="A96" s="22" t="s">
        <v>147</v>
      </c>
      <c r="B96" s="27" t="s">
        <v>148</v>
      </c>
      <c r="C96" s="113">
        <f>+[9]BS17!F74</f>
        <v>3</v>
      </c>
      <c r="D96" s="114">
        <f>+[9]BS17!G74</f>
        <v>0</v>
      </c>
      <c r="E96" s="115">
        <f>+[9]BS17!H74</f>
        <v>0</v>
      </c>
      <c r="F96" s="116">
        <f>[9]BS17A!V1221</f>
        <v>297540</v>
      </c>
    </row>
    <row r="97" spans="1:6" ht="15" customHeight="1" x14ac:dyDescent="0.2">
      <c r="A97" s="22" t="s">
        <v>149</v>
      </c>
      <c r="B97" s="27" t="s">
        <v>150</v>
      </c>
      <c r="C97" s="113">
        <f>+[9]BS17!F75</f>
        <v>2</v>
      </c>
      <c r="D97" s="114">
        <f>+[9]BS17!G75</f>
        <v>0</v>
      </c>
      <c r="E97" s="115">
        <f>+[9]BS17!H75</f>
        <v>0</v>
      </c>
      <c r="F97" s="116">
        <f>[9]BS17A!V1287</f>
        <v>108380</v>
      </c>
    </row>
    <row r="98" spans="1:6" ht="15" customHeight="1" x14ac:dyDescent="0.2">
      <c r="A98" s="22" t="s">
        <v>151</v>
      </c>
      <c r="B98" s="27" t="s">
        <v>152</v>
      </c>
      <c r="C98" s="113">
        <f>+[9]BS17!F76</f>
        <v>134</v>
      </c>
      <c r="D98" s="114">
        <f>+[9]BS17!G76</f>
        <v>10</v>
      </c>
      <c r="E98" s="115">
        <f>+[9]BS17!H76</f>
        <v>1</v>
      </c>
      <c r="F98" s="116">
        <f>[9]BS17A!V1357</f>
        <v>33333185</v>
      </c>
    </row>
    <row r="99" spans="1:6" ht="15" customHeight="1" x14ac:dyDescent="0.2">
      <c r="A99" s="22" t="s">
        <v>153</v>
      </c>
      <c r="B99" s="27" t="s">
        <v>154</v>
      </c>
      <c r="C99" s="113">
        <f>+[9]BS17!F77</f>
        <v>11</v>
      </c>
      <c r="D99" s="114">
        <f>+[9]BS17!G77</f>
        <v>1</v>
      </c>
      <c r="E99" s="115">
        <f>+[9]BS17!H77</f>
        <v>0</v>
      </c>
      <c r="F99" s="116">
        <f>[9]BS17A!V1441</f>
        <v>1245840</v>
      </c>
    </row>
    <row r="100" spans="1:6" ht="15" customHeight="1" x14ac:dyDescent="0.2">
      <c r="A100" s="22" t="s">
        <v>155</v>
      </c>
      <c r="B100" s="27" t="s">
        <v>156</v>
      </c>
      <c r="C100" s="113">
        <f>+[9]BS17!F78</f>
        <v>22</v>
      </c>
      <c r="D100" s="114">
        <f>+[9]BS17!G78</f>
        <v>1</v>
      </c>
      <c r="E100" s="115">
        <f>+[9]BS17!H78</f>
        <v>0</v>
      </c>
      <c r="F100" s="116">
        <f>[9]BS17A!V1489</f>
        <v>4933250</v>
      </c>
    </row>
    <row r="101" spans="1:6" ht="15" customHeight="1" x14ac:dyDescent="0.2">
      <c r="A101" s="22" t="s">
        <v>157</v>
      </c>
      <c r="B101" s="27" t="s">
        <v>158</v>
      </c>
      <c r="C101" s="113">
        <f>+[9]BS17!F79</f>
        <v>9</v>
      </c>
      <c r="D101" s="114">
        <f>+[9]BS17!G79</f>
        <v>0</v>
      </c>
      <c r="E101" s="115">
        <f>+[9]BS17!H79</f>
        <v>0</v>
      </c>
      <c r="F101" s="116">
        <f>[9]BS17A!V1592</f>
        <v>2186310</v>
      </c>
    </row>
    <row r="102" spans="1:6" ht="15" customHeight="1" x14ac:dyDescent="0.2">
      <c r="A102" s="65" t="s">
        <v>159</v>
      </c>
      <c r="B102" s="29" t="s">
        <v>160</v>
      </c>
      <c r="C102" s="117">
        <f>+[9]BS17!F80</f>
        <v>41</v>
      </c>
      <c r="D102" s="118">
        <f>+[9]BS17!G80</f>
        <v>1</v>
      </c>
      <c r="E102" s="119">
        <f>+[9]BS17!H80</f>
        <v>0</v>
      </c>
      <c r="F102" s="120">
        <f>[9]BS17A!V1597</f>
        <v>8573975</v>
      </c>
    </row>
    <row r="103" spans="1:6" ht="15" customHeight="1" x14ac:dyDescent="0.2">
      <c r="A103" s="17" t="s">
        <v>161</v>
      </c>
      <c r="B103" s="36" t="s">
        <v>162</v>
      </c>
      <c r="C103" s="109">
        <f>+[9]BS17!F81</f>
        <v>55</v>
      </c>
      <c r="D103" s="110">
        <f>+[9]BS17!G81</f>
        <v>0</v>
      </c>
      <c r="E103" s="111">
        <f>+[9]BS17!H81</f>
        <v>0</v>
      </c>
      <c r="F103" s="112">
        <f>+[9]BS17A!V1631</f>
        <v>6721360</v>
      </c>
    </row>
    <row r="104" spans="1:6" ht="15" customHeight="1" x14ac:dyDescent="0.2">
      <c r="A104" s="22"/>
      <c r="B104" s="27" t="s">
        <v>163</v>
      </c>
      <c r="C104" s="113">
        <f>+[9]BS17A!D1635</f>
        <v>0</v>
      </c>
      <c r="D104" s="114">
        <f>+[9]BS17A!F1635</f>
        <v>0</v>
      </c>
      <c r="E104" s="115">
        <f>+[9]BS17A!G1635</f>
        <v>0</v>
      </c>
      <c r="F104" s="116">
        <f>+[9]BS17A!V1635</f>
        <v>0</v>
      </c>
    </row>
    <row r="105" spans="1:6" ht="15" customHeight="1" x14ac:dyDescent="0.2">
      <c r="A105" s="22"/>
      <c r="B105" s="27" t="s">
        <v>164</v>
      </c>
      <c r="C105" s="113">
        <f>+[9]BS17A!D1634</f>
        <v>37</v>
      </c>
      <c r="D105" s="114">
        <f>+[9]BS17A!F1634</f>
        <v>0</v>
      </c>
      <c r="E105" s="115">
        <f>+[9]BS17A!G1634</f>
        <v>0</v>
      </c>
      <c r="F105" s="116">
        <f>+[9]BS17A!V1634</f>
        <v>4914340</v>
      </c>
    </row>
    <row r="106" spans="1:6" ht="15" customHeight="1" x14ac:dyDescent="0.2">
      <c r="A106" s="28"/>
      <c r="B106" s="39" t="s">
        <v>165</v>
      </c>
      <c r="C106" s="121">
        <f>+[9]BS17A!D1632+[9]BS17A!D1633</f>
        <v>18</v>
      </c>
      <c r="D106" s="122">
        <f>+[9]BS17A!F1632+[9]BS17A!F1633</f>
        <v>0</v>
      </c>
      <c r="E106" s="123">
        <f>+[9]BS17A!G1632+[9]BS17A!G1633</f>
        <v>0</v>
      </c>
      <c r="F106" s="124">
        <f>+[9]BS17A!V1632+[9]BS17A!V1633</f>
        <v>1807020</v>
      </c>
    </row>
    <row r="107" spans="1:6" ht="15" customHeight="1" x14ac:dyDescent="0.2">
      <c r="A107" s="59" t="s">
        <v>166</v>
      </c>
      <c r="B107" s="79" t="s">
        <v>167</v>
      </c>
      <c r="C107" s="125">
        <f>+[9]BS17!F82</f>
        <v>50</v>
      </c>
      <c r="D107" s="126">
        <f>+[9]BS17!G82</f>
        <v>1</v>
      </c>
      <c r="E107" s="127">
        <f>+[9]BS17!H82</f>
        <v>0</v>
      </c>
      <c r="F107" s="128">
        <f>+[9]BS17A!V1639</f>
        <v>9548705</v>
      </c>
    </row>
    <row r="108" spans="1:6" ht="15" customHeight="1" x14ac:dyDescent="0.2">
      <c r="A108" s="129">
        <v>2106</v>
      </c>
      <c r="B108" s="39" t="s">
        <v>168</v>
      </c>
      <c r="C108" s="121">
        <f>[9]BS17A!D1845</f>
        <v>6</v>
      </c>
      <c r="D108" s="122">
        <f>[9]BS17A!F1845</f>
        <v>0</v>
      </c>
      <c r="E108" s="123">
        <f>[9]BS17A!G1845</f>
        <v>0</v>
      </c>
      <c r="F108" s="124">
        <f>+[9]BS17A!V1845</f>
        <v>333300</v>
      </c>
    </row>
    <row r="109" spans="1:6" ht="15" customHeight="1" x14ac:dyDescent="0.2">
      <c r="A109" s="130"/>
      <c r="B109" s="131" t="s">
        <v>169</v>
      </c>
      <c r="C109" s="132">
        <f>SUM(C90:C108)-C103</f>
        <v>585</v>
      </c>
      <c r="D109" s="133">
        <f>SUM(D90:D108)-D103</f>
        <v>18</v>
      </c>
      <c r="E109" s="134">
        <f>+SUM(E90:E103)+E107+E108</f>
        <v>4</v>
      </c>
      <c r="F109" s="135">
        <f>+SUM(F90:F103)+F107+F108</f>
        <v>95039027.5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53" t="s">
        <v>170</v>
      </c>
      <c r="B112" s="754"/>
      <c r="C112" s="754"/>
      <c r="D112" s="754"/>
      <c r="E112" s="755"/>
      <c r="F112" s="5"/>
    </row>
    <row r="113" spans="1:6" ht="49.5" customHeight="1" x14ac:dyDescent="0.2">
      <c r="A113" s="11" t="s">
        <v>8</v>
      </c>
      <c r="B113" s="11" t="s">
        <v>9</v>
      </c>
      <c r="C113" s="249" t="s">
        <v>10</v>
      </c>
      <c r="D113" s="13" t="s">
        <v>11</v>
      </c>
      <c r="E113" s="251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+[9]BS17A!D1636</f>
        <v>81</v>
      </c>
      <c r="D114" s="136">
        <f>+[9]BS17A!U1636</f>
        <v>132810</v>
      </c>
      <c r="E114" s="137">
        <f>+[9]BS17A!V1636</f>
        <v>10757610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+[9]BS17A!D1637</f>
        <v>6</v>
      </c>
      <c r="D115" s="139">
        <f>+[9]BS17A!U1637</f>
        <v>139740</v>
      </c>
      <c r="E115" s="106">
        <f>+[9]BS17A!V1637</f>
        <v>838440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87</v>
      </c>
      <c r="D116" s="57"/>
      <c r="E116" s="107">
        <f>SUM(E114:E115)</f>
        <v>11596050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64" t="s">
        <v>176</v>
      </c>
      <c r="B119" s="764"/>
      <c r="C119" s="764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+[9]BS17A!V1871+[9]BS17A!V1889+[9]BS17A!V1914</f>
        <v>15087540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53" t="s">
        <v>179</v>
      </c>
      <c r="B124" s="754"/>
      <c r="C124" s="754"/>
      <c r="D124" s="754"/>
      <c r="E124" s="755"/>
      <c r="F124" s="5"/>
    </row>
    <row r="125" spans="1:6" ht="45.75" customHeight="1" x14ac:dyDescent="0.2">
      <c r="A125" s="11" t="s">
        <v>8</v>
      </c>
      <c r="B125" s="11" t="s">
        <v>9</v>
      </c>
      <c r="C125" s="249" t="s">
        <v>10</v>
      </c>
      <c r="D125" s="13" t="s">
        <v>11</v>
      </c>
      <c r="E125" s="251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+[9]BS17A!$D59</f>
        <v>5369</v>
      </c>
      <c r="D126" s="37">
        <f>+[9]BS17A!$U59</f>
        <v>34010</v>
      </c>
      <c r="E126" s="145">
        <f>+[9]BS17A!$V59</f>
        <v>182599690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+[9]BS17A!$D60</f>
        <v>0</v>
      </c>
      <c r="D127" s="24">
        <f>+[9]BS17A!$U60</f>
        <v>31310</v>
      </c>
      <c r="E127" s="146">
        <f>+[9]BS17A!$V60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+[9]BS17A!$D61</f>
        <v>0</v>
      </c>
      <c r="D128" s="24">
        <f>+[9]BS17A!$U61</f>
        <v>26100</v>
      </c>
      <c r="E128" s="146">
        <f>+[9]BS17A!$V61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SUM([9]BS17A!D62:D64)</f>
        <v>237</v>
      </c>
      <c r="D129" s="24">
        <f>+[9]BS17A!$U62</f>
        <v>141410</v>
      </c>
      <c r="E129" s="146">
        <f>SUM([9]BS17A!V62:V64)</f>
        <v>33514170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SUM([9]BS17A!D65:D67)</f>
        <v>303</v>
      </c>
      <c r="D130" s="24">
        <f>+[9]BS17A!$U65</f>
        <v>68290</v>
      </c>
      <c r="E130" s="146">
        <f>SUM([9]BS17A!V65:V67)</f>
        <v>20691870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+[9]BS17A!D68</f>
        <v>189</v>
      </c>
      <c r="D131" s="24">
        <f>+[9]BS17A!$U68</f>
        <v>61270</v>
      </c>
      <c r="E131" s="146">
        <f>+[9]BS17A!$V68</f>
        <v>11580030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+[9]BS17A!$D69</f>
        <v>0</v>
      </c>
      <c r="D132" s="24">
        <f>+[9]BS17A!$U69</f>
        <v>17390</v>
      </c>
      <c r="E132" s="146">
        <f>+[9]BS17A!$V69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+[9]BS17A!$D70</f>
        <v>0</v>
      </c>
      <c r="D133" s="24">
        <f>+[9]BS17A!$U70</f>
        <v>27240</v>
      </c>
      <c r="E133" s="146">
        <f>+[9]BS17A!$V70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+[9]BS17A!$D73</f>
        <v>0</v>
      </c>
      <c r="D134" s="24">
        <f>+[9]BS17A!$U73</f>
        <v>27470</v>
      </c>
      <c r="E134" s="146">
        <f>+[9]BS17A!$V73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+[9]BS17A!$D71</f>
        <v>0</v>
      </c>
      <c r="D135" s="24">
        <f>+[9]BS17A!$U71</f>
        <v>28360</v>
      </c>
      <c r="E135" s="146">
        <f>+[9]BS17A!$V71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+[9]BS17A!$D76</f>
        <v>0</v>
      </c>
      <c r="D136" s="24">
        <f>+[9]BS17A!$U76</f>
        <v>34010</v>
      </c>
      <c r="E136" s="146">
        <f>+[9]BS17A!$V76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+[9]BS17A!$D79</f>
        <v>32</v>
      </c>
      <c r="D137" s="24">
        <f>+[9]BS17A!$U79</f>
        <v>6600</v>
      </c>
      <c r="E137" s="146">
        <f>+[9]BS17A!$V79</f>
        <v>211200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+[9]BS17A!$D80</f>
        <v>0</v>
      </c>
      <c r="D138" s="24">
        <f>+[9]BS17A!$U80</f>
        <v>47670</v>
      </c>
      <c r="E138" s="146">
        <f>+[9]BS17A!$V80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6130</v>
      </c>
      <c r="D139" s="149"/>
      <c r="E139" s="150">
        <f>SUM(E126:E138)</f>
        <v>248596960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+[9]BS17A!$D72</f>
        <v>0</v>
      </c>
      <c r="D141" s="24">
        <f>+[9]BS17A!$U72</f>
        <v>11430</v>
      </c>
      <c r="E141" s="146">
        <f>+[9]BS17A!$V72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+[9]BS17A!$D74</f>
        <v>0</v>
      </c>
      <c r="D142" s="24">
        <f>+[9]BS17A!$U74</f>
        <v>11430</v>
      </c>
      <c r="E142" s="146">
        <f>+[9]BS17A!$V74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+[9]BS17A!$D75</f>
        <v>0</v>
      </c>
      <c r="D143" s="24">
        <f>+[9]BS17A!$U75</f>
        <v>5040</v>
      </c>
      <c r="E143" s="146">
        <f>+[9]BS17A!$V75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+[9]BS17A!$D77</f>
        <v>0</v>
      </c>
      <c r="D144" s="24">
        <f>+[9]BS17A!$U77</f>
        <v>91950</v>
      </c>
      <c r="E144" s="146">
        <f>+[9]BS17A!$V77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+[9]BS17A!$D78</f>
        <v>0</v>
      </c>
      <c r="D145" s="24">
        <f>+[9]BS17A!$U78</f>
        <v>10860</v>
      </c>
      <c r="E145" s="146">
        <f>+[9]BS17A!$V78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+[9]BS17A!$D81</f>
        <v>0</v>
      </c>
      <c r="D146" s="24">
        <f>+[9]BS17A!$U81</f>
        <v>8360</v>
      </c>
      <c r="E146" s="146">
        <f>+[9]BS17A!$V81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6130</v>
      </c>
      <c r="D148" s="151"/>
      <c r="E148" s="152">
        <f>+E139+E147</f>
        <v>248596960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45" t="s">
        <v>222</v>
      </c>
      <c r="B151" s="746"/>
      <c r="C151" s="746"/>
      <c r="D151" s="746"/>
      <c r="E151" s="747"/>
      <c r="F151" s="5"/>
    </row>
    <row r="152" spans="1:6" ht="47.25" customHeight="1" x14ac:dyDescent="0.2">
      <c r="A152" s="11" t="s">
        <v>8</v>
      </c>
      <c r="B152" s="11" t="s">
        <v>9</v>
      </c>
      <c r="C152" s="249" t="s">
        <v>10</v>
      </c>
      <c r="D152" s="13" t="s">
        <v>11</v>
      </c>
      <c r="E152" s="251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+[9]BS17A!D43</f>
        <v>233</v>
      </c>
      <c r="D153" s="37">
        <f>[9]BS17A!U43</f>
        <v>780</v>
      </c>
      <c r="E153" s="145">
        <f>+[9]BS17A!V43</f>
        <v>181740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+[9]BS17A!D44+[9]BS17A!D45</f>
        <v>0</v>
      </c>
      <c r="D154" s="40">
        <f>[9]BS17A!U44</f>
        <v>100</v>
      </c>
      <c r="E154" s="153">
        <f>+[9]BS17A!V44+[9]BS17A!V45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233</v>
      </c>
      <c r="D155" s="151"/>
      <c r="E155" s="152">
        <f>SUM(E153:E154)</f>
        <v>181740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5"/>
    </row>
    <row r="159" spans="1:6" ht="47.25" customHeight="1" x14ac:dyDescent="0.2">
      <c r="A159" s="11" t="s">
        <v>8</v>
      </c>
      <c r="B159" s="11" t="s">
        <v>9</v>
      </c>
      <c r="C159" s="249" t="s">
        <v>10</v>
      </c>
      <c r="D159" s="13" t="s">
        <v>11</v>
      </c>
      <c r="E159" s="251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+[9]BS17A!$D1481</f>
        <v>0</v>
      </c>
      <c r="D160" s="37">
        <f>+[9]BS17A!$U1481</f>
        <v>42830</v>
      </c>
      <c r="E160" s="145">
        <f>+[9]BS17A!$V1481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+[9]BS17A!$D1482</f>
        <v>0</v>
      </c>
      <c r="D161" s="24">
        <f>+[9]BS17A!$U1482</f>
        <v>26930</v>
      </c>
      <c r="E161" s="146">
        <f>+[9]BS17A!$V1482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+[9]BS17A!$D1483</f>
        <v>0</v>
      </c>
      <c r="D162" s="24">
        <f>+[9]BS17A!$U1483</f>
        <v>27740</v>
      </c>
      <c r="E162" s="146">
        <f>+[9]BS17A!$V1483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+[9]BS17A!$D1484</f>
        <v>0</v>
      </c>
      <c r="D163" s="24">
        <f>+[9]BS17A!$U1484</f>
        <v>832280</v>
      </c>
      <c r="E163" s="146">
        <f>+[9]BS17A!$V1484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+[9]BS17A!$D1485</f>
        <v>0</v>
      </c>
      <c r="D164" s="24">
        <f>+[9]BS17A!$U1485</f>
        <v>378030</v>
      </c>
      <c r="E164" s="146">
        <f>+[9]BS17A!$V1485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+[9]BS17A!$D1486</f>
        <v>0</v>
      </c>
      <c r="D165" s="24">
        <f>+[9]BS17A!$U1486</f>
        <v>578050</v>
      </c>
      <c r="E165" s="146">
        <f>+[9]BS17A!$V1486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+[9]BS17A!$D1487</f>
        <v>0</v>
      </c>
      <c r="D166" s="24">
        <f>+[9]BS17A!$U1487</f>
        <v>52120</v>
      </c>
      <c r="E166" s="146">
        <f>+[9]BS17A!$V1487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+[9]BS17A!$D1488</f>
        <v>0</v>
      </c>
      <c r="D167" s="40">
        <f>+[9]BS17A!$U1488</f>
        <v>677560</v>
      </c>
      <c r="E167" s="153">
        <f>+[9]BS17A!$V1488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5"/>
    </row>
    <row r="172" spans="1:6" ht="46.5" customHeight="1" x14ac:dyDescent="0.2">
      <c r="A172" s="11" t="s">
        <v>8</v>
      </c>
      <c r="B172" s="11" t="s">
        <v>9</v>
      </c>
      <c r="C172" s="249" t="s">
        <v>10</v>
      </c>
      <c r="D172" s="13" t="s">
        <v>11</v>
      </c>
      <c r="E172" s="251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+[9]BS17A!$D805</f>
        <v>18</v>
      </c>
      <c r="D173" s="37">
        <f>+[9]BS17A!$U805</f>
        <v>14690</v>
      </c>
      <c r="E173" s="145">
        <f>+[9]BS17A!$V805</f>
        <v>264420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+[9]BS17A!$D806</f>
        <v>0</v>
      </c>
      <c r="D174" s="24">
        <f>+[9]BS17A!$U806</f>
        <v>11740</v>
      </c>
      <c r="E174" s="146">
        <f>+[9]BS17A!$V806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+[9]BS17A!$D1197</f>
        <v>617</v>
      </c>
      <c r="D175" s="24">
        <f>+[9]BS17A!$U1197</f>
        <v>5030</v>
      </c>
      <c r="E175" s="146">
        <f>+[9]BS17A!$V1197</f>
        <v>3103510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+[9]BS17A!$D1198</f>
        <v>25</v>
      </c>
      <c r="D176" s="24">
        <f>+[9]BS17A!$U1198</f>
        <v>14180</v>
      </c>
      <c r="E176" s="146">
        <f>+[9]BS17A!$V1198</f>
        <v>354500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+[9]BS17A!$D1199</f>
        <v>35</v>
      </c>
      <c r="D177" s="24">
        <f>+[9]BS17A!$U1199</f>
        <v>24050</v>
      </c>
      <c r="E177" s="146">
        <f>+[9]BS17A!$V1199</f>
        <v>841750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+[9]BS17A!$D1200</f>
        <v>0</v>
      </c>
      <c r="D178" s="24">
        <f>+[9]BS17A!$U1200</f>
        <v>45920</v>
      </c>
      <c r="E178" s="146">
        <f>+[9]BS17A!$V1200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+[9]BS17A!$D1201</f>
        <v>118</v>
      </c>
      <c r="D179" s="24">
        <f>+[9]BS17A!$U1201</f>
        <v>51180</v>
      </c>
      <c r="E179" s="146">
        <f>+[9]BS17A!$V1201</f>
        <v>6039240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+[9]BS17A!$D1202</f>
        <v>0</v>
      </c>
      <c r="D180" s="24">
        <f>+[9]BS17A!$U1202</f>
        <v>28710</v>
      </c>
      <c r="E180" s="146">
        <f>+[9]BS17A!$V1202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+[9]BS17A!$D1203</f>
        <v>0</v>
      </c>
      <c r="D181" s="24">
        <f>+[9]BS17A!$U1203</f>
        <v>222100</v>
      </c>
      <c r="E181" s="146">
        <f>+[9]BS17A!$V1203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+[9]BS17A!$D1204</f>
        <v>0</v>
      </c>
      <c r="D182" s="24">
        <f>+[9]BS17A!$U1204</f>
        <v>252490</v>
      </c>
      <c r="E182" s="146">
        <f>+[9]BS17A!$V1204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+[9]BS17A!$D1205</f>
        <v>0</v>
      </c>
      <c r="D183" s="24">
        <f>+[9]BS17A!$U1205</f>
        <v>205900</v>
      </c>
      <c r="E183" s="146">
        <f>+[9]BS17A!$V1205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+[9]BS17A!$D1206</f>
        <v>0</v>
      </c>
      <c r="D184" s="24">
        <f>+[9]BS17A!$U1206</f>
        <v>264470</v>
      </c>
      <c r="E184" s="146">
        <f>+[9]BS17A!$V1206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+[9]BS17A!$D1207</f>
        <v>0</v>
      </c>
      <c r="D185" s="24">
        <f>+[9]BS17A!$U1207</f>
        <v>270610</v>
      </c>
      <c r="E185" s="146">
        <f>+[9]BS17A!$V1207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+[9]BS17A!$D1208</f>
        <v>0</v>
      </c>
      <c r="D186" s="24">
        <f>+[9]BS17A!$U1208</f>
        <v>228850</v>
      </c>
      <c r="E186" s="146">
        <f>+[9]BS17A!$V1208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+[9]BS17A!$D1209</f>
        <v>0</v>
      </c>
      <c r="D187" s="24">
        <f>+[9]BS17A!$U1209</f>
        <v>244270</v>
      </c>
      <c r="E187" s="146">
        <f>+[9]BS17A!$V1209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+[9]BS17A!$D1210</f>
        <v>0</v>
      </c>
      <c r="D188" s="24">
        <f>+[9]BS17A!$U1210</f>
        <v>292090</v>
      </c>
      <c r="E188" s="146">
        <f>+[9]BS17A!$V1210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+[9]BS17A!$D1211</f>
        <v>0</v>
      </c>
      <c r="D189" s="24">
        <f>+[9]BS17A!$U1211</f>
        <v>259010</v>
      </c>
      <c r="E189" s="146">
        <f>+[9]BS17A!$V1211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+[9]BS17A!$D1212</f>
        <v>0</v>
      </c>
      <c r="D190" s="24">
        <f>+[9]BS17A!$U1212</f>
        <v>1895520</v>
      </c>
      <c r="E190" s="146">
        <f>+[9]BS17A!$V1212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+[9]BS17A!$D1213</f>
        <v>0</v>
      </c>
      <c r="D191" s="24">
        <f>+[9]BS17A!$U1213</f>
        <v>1183940</v>
      </c>
      <c r="E191" s="146">
        <f>+[9]BS17A!$V1213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+[9]BS17A!$D1214</f>
        <v>0</v>
      </c>
      <c r="D192" s="24">
        <f>+[9]BS17A!$U1214</f>
        <v>1145920</v>
      </c>
      <c r="E192" s="146">
        <f>+[9]BS17A!$V1214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+[9]BS17A!$D1215</f>
        <v>0</v>
      </c>
      <c r="D193" s="24">
        <f>+[9]BS17A!$U1215</f>
        <v>1200500</v>
      </c>
      <c r="E193" s="146">
        <f>+[9]BS17A!$V1215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+[9]BS17A!$D1216</f>
        <v>0</v>
      </c>
      <c r="D194" s="24">
        <f>+[9]BS17A!$U1216</f>
        <v>169880</v>
      </c>
      <c r="E194" s="146">
        <f>+[9]BS17A!$V1216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+[9]BS17A!$D1217</f>
        <v>0</v>
      </c>
      <c r="D195" s="24">
        <f>+[9]BS17A!$U1217</f>
        <v>387660</v>
      </c>
      <c r="E195" s="146">
        <f>+[9]BS17A!$V1217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+[9]BS17A!$D1218</f>
        <v>0</v>
      </c>
      <c r="D196" s="24">
        <f>+[9]BS17A!$U1218</f>
        <v>143720</v>
      </c>
      <c r="E196" s="146">
        <f>+[9]BS17A!$V1218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+[9]BS17A!$D1219</f>
        <v>0</v>
      </c>
      <c r="D197" s="24">
        <f>+[9]BS17A!$U1219</f>
        <v>1164440</v>
      </c>
      <c r="E197" s="146">
        <f>+[9]BS17A!$V1219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+[9]BS17A!$D1220</f>
        <v>0</v>
      </c>
      <c r="D198" s="24">
        <f>+[9]BS17A!$U1220</f>
        <v>1164440</v>
      </c>
      <c r="E198" s="146">
        <f>+[9]BS17A!$V1220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+[9]BS17A!$D1354</f>
        <v>68</v>
      </c>
      <c r="D199" s="24">
        <f>+[9]BS17A!$U1354</f>
        <v>34730</v>
      </c>
      <c r="E199" s="146">
        <f>+[9]BS17A!$V1354</f>
        <v>2361640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+[9]BS17A!$D1355</f>
        <v>0</v>
      </c>
      <c r="D200" s="24">
        <f>+[9]BS17A!$U1355</f>
        <v>41890</v>
      </c>
      <c r="E200" s="146">
        <f>+[9]BS17A!$V1355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+[9]BS17A!$D1356</f>
        <v>8</v>
      </c>
      <c r="D201" s="24">
        <f>+[9]BS17A!$U1356</f>
        <v>44620</v>
      </c>
      <c r="E201" s="146">
        <f>+[9]BS17A!$V1356</f>
        <v>356960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[9]BS17A!D1036</f>
        <v>1</v>
      </c>
      <c r="D202" s="24">
        <f>[9]BS17A!U1036</f>
        <v>9390</v>
      </c>
      <c r="E202" s="146">
        <f>[9]BS17A!V1036</f>
        <v>9390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[9]BS17A!D807</f>
        <v>0</v>
      </c>
      <c r="D203" s="24">
        <f>[9]BS17A!U807</f>
        <v>398560</v>
      </c>
      <c r="E203" s="146">
        <f>[9]BS17A!V807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[9]BS17A!D808</f>
        <v>0</v>
      </c>
      <c r="D204" s="24">
        <f>[9]BS17A!U808</f>
        <v>8946190</v>
      </c>
      <c r="E204" s="146">
        <f>[9]BS17A!V808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[9]BS17A!D809</f>
        <v>0</v>
      </c>
      <c r="D205" s="24">
        <f>[9]BS17A!U809</f>
        <v>229650</v>
      </c>
      <c r="E205" s="146">
        <f>[9]BS17A!V809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[9]BS17A!D810</f>
        <v>0</v>
      </c>
      <c r="D206" s="40">
        <f>[9]BS17A!U810</f>
        <v>1047210</v>
      </c>
      <c r="E206" s="153">
        <f>[9]BS17A!V810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890</v>
      </c>
      <c r="D207" s="151"/>
      <c r="E207" s="152">
        <f>SUM(E173:E206)</f>
        <v>13331410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5"/>
    </row>
    <row r="211" spans="1:6" ht="39.75" customHeight="1" x14ac:dyDescent="0.2">
      <c r="A211" s="11" t="s">
        <v>8</v>
      </c>
      <c r="B211" s="11" t="s">
        <v>9</v>
      </c>
      <c r="C211" s="249" t="s">
        <v>10</v>
      </c>
      <c r="D211" s="13" t="s">
        <v>11</v>
      </c>
      <c r="E211" s="251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+[9]BS17A!$D18</f>
        <v>0</v>
      </c>
      <c r="D212" s="37">
        <f>+[9]BS17A!$U18</f>
        <v>14530</v>
      </c>
      <c r="E212" s="145">
        <f>+[9]BS17A!$V18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+[9]BS17A!$D19</f>
        <v>56</v>
      </c>
      <c r="D213" s="24">
        <f>+[9]BS17A!$U19</f>
        <v>14530</v>
      </c>
      <c r="E213" s="146">
        <f>+[9]BS17A!$V19</f>
        <v>813680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+[9]BS17A!$D47</f>
        <v>0</v>
      </c>
      <c r="D214" s="24">
        <f>+[9]BS17A!$U47</f>
        <v>1390</v>
      </c>
      <c r="E214" s="146">
        <f>+[9]BS17A!$V47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+[9]BS17A!$D48</f>
        <v>389</v>
      </c>
      <c r="D215" s="24">
        <f>+[9]BS17A!$U48</f>
        <v>680</v>
      </c>
      <c r="E215" s="146">
        <f>+[9]BS17A!$V48</f>
        <v>264520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+[9]BS17A!$D49</f>
        <v>4546</v>
      </c>
      <c r="D216" s="24">
        <f>+[9]BS17A!$U49</f>
        <v>2060</v>
      </c>
      <c r="E216" s="146">
        <f>+[9]BS17A!$V49</f>
        <v>9364760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+[9]BS17A!$D50</f>
        <v>67</v>
      </c>
      <c r="D217" s="24">
        <f>+[9]BS17A!$U50</f>
        <v>15480</v>
      </c>
      <c r="E217" s="146">
        <f>+[9]BS17A!$V50</f>
        <v>1037160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+[9]BS17A!$D51</f>
        <v>173</v>
      </c>
      <c r="D218" s="24">
        <f>+[9]BS17A!$U51</f>
        <v>35550</v>
      </c>
      <c r="E218" s="146">
        <f>+[9]BS17A!$V51</f>
        <v>6150150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+[9]BS17A!D52</f>
        <v>8</v>
      </c>
      <c r="D219" s="174"/>
      <c r="E219" s="146">
        <f>+[9]BS17A!V52</f>
        <v>70960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+[9]BS17A!$D1861</f>
        <v>45</v>
      </c>
      <c r="D220" s="40">
        <f>+[9]BS17A!$U1861</f>
        <v>28810</v>
      </c>
      <c r="E220" s="153">
        <f>+[9]BS17A!$V1861</f>
        <v>1296450</v>
      </c>
      <c r="F220" s="8"/>
    </row>
    <row r="221" spans="1:6" ht="12.75" x14ac:dyDescent="0.2">
      <c r="A221" s="130"/>
      <c r="B221" s="131" t="s">
        <v>329</v>
      </c>
      <c r="C221" s="44">
        <f>SUM(C212:C220)</f>
        <v>5284</v>
      </c>
      <c r="D221" s="151"/>
      <c r="E221" s="175">
        <f>SUM(E212:E220)</f>
        <v>18997680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65" t="s">
        <v>330</v>
      </c>
      <c r="B224" s="766"/>
      <c r="C224" s="767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249" t="s">
        <v>10</v>
      </c>
      <c r="D232" s="13" t="s">
        <v>11</v>
      </c>
      <c r="E232" s="251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+[9]BS17A!$D1941</f>
        <v>208</v>
      </c>
      <c r="D233" s="37">
        <f>+[9]BS17A!$U1941</f>
        <v>19890</v>
      </c>
      <c r="E233" s="145">
        <f>+[9]BS17A!$V1941</f>
        <v>4137120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+[9]BS17A!$D1942</f>
        <v>0</v>
      </c>
      <c r="D234" s="40">
        <f>+[9]BS17A!$U1942</f>
        <v>249320</v>
      </c>
      <c r="E234" s="153">
        <f>+[9]BS17A!$V1942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208</v>
      </c>
      <c r="D235" s="151"/>
      <c r="E235" s="152">
        <f>SUM(E233:E234)</f>
        <v>4137120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8"/>
    </row>
    <row r="239" spans="1:7" ht="41.25" customHeight="1" x14ac:dyDescent="0.2">
      <c r="A239" s="11" t="s">
        <v>8</v>
      </c>
      <c r="B239" s="11" t="s">
        <v>9</v>
      </c>
      <c r="C239" s="249" t="s">
        <v>10</v>
      </c>
      <c r="D239" s="13" t="s">
        <v>11</v>
      </c>
      <c r="E239" s="251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[9]BS17A!D768</f>
        <v>757</v>
      </c>
      <c r="D240" s="191"/>
      <c r="E240" s="192">
        <f>[9]BS17A!V768</f>
        <v>4852780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8"/>
    </row>
    <row r="243" spans="1:6" ht="43.5" customHeight="1" x14ac:dyDescent="0.2">
      <c r="A243" s="11" t="s">
        <v>8</v>
      </c>
      <c r="B243" s="249" t="s">
        <v>346</v>
      </c>
      <c r="C243" s="100" t="s">
        <v>347</v>
      </c>
      <c r="D243" s="13" t="s">
        <v>11</v>
      </c>
      <c r="E243" s="251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+[9]BS17A!$D1944</f>
        <v>0</v>
      </c>
      <c r="D244" s="37">
        <f>+[9]BS17A!$U1944</f>
        <v>254650</v>
      </c>
      <c r="E244" s="145">
        <f>+[9]BS17A!$V1944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+[9]BS17A!$D1945</f>
        <v>0</v>
      </c>
      <c r="D245" s="24">
        <f>+[9]BS17A!$U1945</f>
        <v>36180</v>
      </c>
      <c r="E245" s="146">
        <f>+[9]BS17A!$V1945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+[9]BS17A!$D1946</f>
        <v>0</v>
      </c>
      <c r="D246" s="24">
        <f>+[9]BS17A!$U1946</f>
        <v>136500</v>
      </c>
      <c r="E246" s="146">
        <f>+[9]BS17A!$V1946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+[9]BS17A!$D1947</f>
        <v>0</v>
      </c>
      <c r="D247" s="24">
        <f>+[9]BS17A!$U1947</f>
        <v>136500</v>
      </c>
      <c r="E247" s="146">
        <f>+[9]BS17A!$V1947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+[9]BS17A!$D1948</f>
        <v>0</v>
      </c>
      <c r="D248" s="24">
        <f>+[9]BS17A!$U1948</f>
        <v>248500</v>
      </c>
      <c r="E248" s="146">
        <f>+[9]BS17A!$V1948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+[9]BS17A!$D1949</f>
        <v>0</v>
      </c>
      <c r="D249" s="24">
        <f>+[9]BS17A!$U1949</f>
        <v>381350</v>
      </c>
      <c r="E249" s="146">
        <f>+[9]BS17A!$V1949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+[9]BS17A!$D1950</f>
        <v>0</v>
      </c>
      <c r="D250" s="24">
        <f>+[9]BS17A!$U1950</f>
        <v>650560</v>
      </c>
      <c r="E250" s="146">
        <f>+[9]BS17A!$V1950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+[9]BS17A!$D1951</f>
        <v>0</v>
      </c>
      <c r="D251" s="24">
        <f>+[9]BS17A!$U1951</f>
        <v>135500</v>
      </c>
      <c r="E251" s="146">
        <f>+[9]BS17A!$V1951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+[9]BS17A!$D1952</f>
        <v>0</v>
      </c>
      <c r="D252" s="24">
        <f>+[9]BS17A!$U1952</f>
        <v>365200</v>
      </c>
      <c r="E252" s="146">
        <f>+[9]BS17A!$V1952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+[9]BS17A!$D1953</f>
        <v>0</v>
      </c>
      <c r="D253" s="31">
        <f>+[9]BS17A!$U1953</f>
        <v>153770</v>
      </c>
      <c r="E253" s="198">
        <f>+[9]BS17A!$V1953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+[9]BS17A!$D1954</f>
        <v>0</v>
      </c>
      <c r="D254" s="31">
        <f>+[9]BS17A!$U1954</f>
        <v>133620</v>
      </c>
      <c r="E254" s="198">
        <f>+[9]BS17A!$V1954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+[9]BS17A!$D1955</f>
        <v>0</v>
      </c>
      <c r="D255" s="31">
        <f>+[9]BS17A!$U1955</f>
        <v>203150</v>
      </c>
      <c r="E255" s="198">
        <f>+[9]BS17A!$V1955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+[9]BS17A!$D1956</f>
        <v>0</v>
      </c>
      <c r="D256" s="31">
        <f>+[9]BS17A!$U1956</f>
        <v>53460</v>
      </c>
      <c r="E256" s="198">
        <f>+[9]BS17A!$V1956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+[9]BS17A!$D1957</f>
        <v>0</v>
      </c>
      <c r="D257" s="40">
        <f>+[9]BS17A!$U1957</f>
        <v>39950</v>
      </c>
      <c r="E257" s="153">
        <f>+[9]BS17A!$V1957</f>
        <v>0</v>
      </c>
      <c r="F257" s="8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+[9]BS17A!$D1958</f>
        <v>0</v>
      </c>
      <c r="D259" s="37">
        <f>+[9]BS17A!$U1958</f>
        <v>219080</v>
      </c>
      <c r="E259" s="145">
        <f>+[9]BS17A!$V1958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+[9]BS17A!$D1959</f>
        <v>0</v>
      </c>
      <c r="D260" s="24">
        <f>+[9]BS17A!$U1959</f>
        <v>1303250</v>
      </c>
      <c r="E260" s="146">
        <f>+[9]BS17A!$V1959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+[9]BS17A!$D1960</f>
        <v>0</v>
      </c>
      <c r="D261" s="24">
        <f>+[9]BS17A!$U1960</f>
        <v>196630</v>
      </c>
      <c r="E261" s="146">
        <f>+[9]BS17A!$V1960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+[9]BS17A!$D1961</f>
        <v>0</v>
      </c>
      <c r="D262" s="24">
        <f>+[9]BS17A!$U1961</f>
        <v>173880</v>
      </c>
      <c r="E262" s="146">
        <f>+[9]BS17A!$V1961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+[9]BS17A!$D1962</f>
        <v>0</v>
      </c>
      <c r="D263" s="24">
        <f>+[9]BS17A!$U1962</f>
        <v>352980</v>
      </c>
      <c r="E263" s="146">
        <f>+[9]BS17A!$V1962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+[9]BS17A!$D1963</f>
        <v>0</v>
      </c>
      <c r="D264" s="24">
        <f>+[9]BS17A!$U1963</f>
        <v>1173780</v>
      </c>
      <c r="E264" s="146">
        <f>+[9]BS17A!$V1963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+[9]BS17A!$D1964</f>
        <v>0</v>
      </c>
      <c r="D265" s="24">
        <f>+[9]BS17A!$U1964</f>
        <v>1206250</v>
      </c>
      <c r="E265" s="146">
        <f>+[9]BS17A!$V1964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+[9]BS17A!$D1965</f>
        <v>0</v>
      </c>
      <c r="D266" s="24">
        <f>+[9]BS17A!$U1965</f>
        <v>955090</v>
      </c>
      <c r="E266" s="146">
        <f>+[9]BS17A!$V1965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+[9]BS17A!$D1966</f>
        <v>0</v>
      </c>
      <c r="D267" s="24">
        <f>+[9]BS17A!$U1966</f>
        <v>1006570</v>
      </c>
      <c r="E267" s="146">
        <f>+[9]BS17A!$V1966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+[9]BS17A!$D1967</f>
        <v>0</v>
      </c>
      <c r="D268" s="24">
        <f>+[9]BS17A!$U1967</f>
        <v>397090</v>
      </c>
      <c r="E268" s="146">
        <f>+[9]BS17A!$V1967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+[9]BS17A!$D1968</f>
        <v>0</v>
      </c>
      <c r="D269" s="24">
        <f>+[9]BS17A!$U1968</f>
        <v>95100</v>
      </c>
      <c r="E269" s="146">
        <f>+[9]BS17A!$V1968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+[9]BS17A!$D1969</f>
        <v>0</v>
      </c>
      <c r="D270" s="24">
        <f>+[9]BS17A!$U1969</f>
        <v>283710</v>
      </c>
      <c r="E270" s="146">
        <f>+[9]BS17A!$V1969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+[9]BS17A!$D1970</f>
        <v>0</v>
      </c>
      <c r="D271" s="24">
        <f>+[9]BS17A!$U1970</f>
        <v>80220</v>
      </c>
      <c r="E271" s="146">
        <f>+[9]BS17A!$V1970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+[9]BS17A!$D1971</f>
        <v>0</v>
      </c>
      <c r="D272" s="24">
        <f>+[9]BS17A!$U1971</f>
        <v>1378400</v>
      </c>
      <c r="E272" s="146">
        <f>+[9]BS17A!$V1971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+[9]BS17A!$D1972</f>
        <v>0</v>
      </c>
      <c r="D273" s="24">
        <f>+[9]BS17A!$U1972</f>
        <v>322300</v>
      </c>
      <c r="E273" s="146">
        <f>+[9]BS17A!$V1972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+[9]BS17A!$D1973</f>
        <v>0</v>
      </c>
      <c r="D274" s="24">
        <f>+[9]BS17A!$U1973</f>
        <v>1079720</v>
      </c>
      <c r="E274" s="146">
        <f>+[9]BS17A!$V1973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+[9]BS17A!$D1974</f>
        <v>0</v>
      </c>
      <c r="D275" s="24">
        <f>+[9]BS17A!$U1974</f>
        <v>661000</v>
      </c>
      <c r="E275" s="146">
        <f>+[9]BS17A!$V1974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+[9]BS17A!$D1975</f>
        <v>0</v>
      </c>
      <c r="D276" s="31">
        <f>+[9]BS17A!$U1975</f>
        <v>539420</v>
      </c>
      <c r="E276" s="198">
        <f>+[9]BS17A!$V1975</f>
        <v>0</v>
      </c>
      <c r="F276" s="8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+[9]BS17A!$D1976</f>
        <v>0</v>
      </c>
      <c r="D278" s="20">
        <f>[9]BS17A!U1976</f>
        <v>290780</v>
      </c>
      <c r="E278" s="202">
        <f>+[9]BS17A!$V1976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+[9]BS17A!$D1977</f>
        <v>0</v>
      </c>
      <c r="D279" s="24">
        <f>[9]BS17A!U1977</f>
        <v>169530</v>
      </c>
      <c r="E279" s="146">
        <f>+[9]BS17A!$V1977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+[9]BS17A!$D1978</f>
        <v>0</v>
      </c>
      <c r="D280" s="24">
        <f>[9]BS17A!U1978</f>
        <v>409630</v>
      </c>
      <c r="E280" s="146">
        <f>+[9]BS17A!$V1978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+[9]BS17A!$D1979</f>
        <v>0</v>
      </c>
      <c r="D281" s="24">
        <f>[9]BS17A!U1979</f>
        <v>424500</v>
      </c>
      <c r="E281" s="146">
        <f>+[9]BS17A!$V1979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+[9]BS17A!$D1980</f>
        <v>0</v>
      </c>
      <c r="D282" s="40">
        <f>[9]BS17A!U1980</f>
        <v>265260</v>
      </c>
      <c r="E282" s="153">
        <f>+[9]BS17A!$V1980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+[9]BS17A!$D1981</f>
        <v>94</v>
      </c>
      <c r="D283" s="207">
        <f>[9]BS17A!U1981</f>
        <v>36070</v>
      </c>
      <c r="E283" s="192">
        <f>+[9]BS17A!$V1981</f>
        <v>3390580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94</v>
      </c>
      <c r="D284" s="151"/>
      <c r="E284" s="152">
        <f>SUM(E244:E283)</f>
        <v>3390580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8"/>
    </row>
    <row r="288" spans="1:10" ht="44.25" customHeight="1" x14ac:dyDescent="0.2">
      <c r="A288" s="11" t="s">
        <v>8</v>
      </c>
      <c r="B288" s="11" t="s">
        <v>426</v>
      </c>
      <c r="C288" s="249" t="s">
        <v>347</v>
      </c>
      <c r="D288" s="13" t="s">
        <v>11</v>
      </c>
      <c r="E288" s="251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+[9]BS17A!$D1983</f>
        <v>3</v>
      </c>
      <c r="D289" s="37">
        <f>+[9]BS17A!$U1983</f>
        <v>7100</v>
      </c>
      <c r="E289" s="145">
        <f>+[9]BS17A!$V1983</f>
        <v>21300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+[9]BS17A!$D1984</f>
        <v>0</v>
      </c>
      <c r="D290" s="24">
        <f>+[9]BS17A!$U1984</f>
        <v>3780</v>
      </c>
      <c r="E290" s="146">
        <f>+[9]BS17A!$V1984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+[9]BS17A!$D1985</f>
        <v>1</v>
      </c>
      <c r="D291" s="24">
        <f>+[9]BS17A!$U1985</f>
        <v>14240</v>
      </c>
      <c r="E291" s="146">
        <f>+[9]BS17A!$V1985</f>
        <v>14240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+[9]BS17A!$D1986</f>
        <v>0</v>
      </c>
      <c r="D292" s="24">
        <f>+[9]BS17A!$U1986</f>
        <v>146040</v>
      </c>
      <c r="E292" s="146">
        <f>+[9]BS17A!$V1986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+[9]BS17A!$D1987</f>
        <v>0</v>
      </c>
      <c r="D293" s="40">
        <f>+[9]BS17A!$U1987</f>
        <v>802130</v>
      </c>
      <c r="E293" s="153">
        <f>+[9]BS17A!$V1987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4</v>
      </c>
      <c r="D294" s="57"/>
      <c r="E294" s="107">
        <f>SUM(E289:E293)</f>
        <v>35540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56" t="s">
        <v>438</v>
      </c>
      <c r="B297" s="757"/>
      <c r="C297" s="757"/>
      <c r="D297" s="757"/>
      <c r="E297" s="758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251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+[9]BS17A!$D1863</f>
        <v>197</v>
      </c>
      <c r="D299" s="37">
        <f>+[9]BS17A!$U1863</f>
        <v>18980</v>
      </c>
      <c r="E299" s="145">
        <f>+[9]BS17A!$V1863</f>
        <v>3739060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+[9]BS17A!$D1864</f>
        <v>167</v>
      </c>
      <c r="D300" s="24">
        <f>+[9]BS17A!$U1864</f>
        <v>59710</v>
      </c>
      <c r="E300" s="146">
        <f>+[9]BS17A!$V1864</f>
        <v>9971570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+[9]BS17A!$D1865</f>
        <v>0</v>
      </c>
      <c r="D301" s="24">
        <f>+[9]BS17A!$U1865</f>
        <v>74020</v>
      </c>
      <c r="E301" s="146">
        <f>+[9]BS17A!$V1865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+[9]BS17A!$D1866</f>
        <v>170</v>
      </c>
      <c r="D302" s="24">
        <f>+[9]BS17A!$U1866</f>
        <v>2600</v>
      </c>
      <c r="E302" s="146">
        <f>+[9]BS17A!$V1866</f>
        <v>442000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+[9]BS17A!$D1867</f>
        <v>0</v>
      </c>
      <c r="D303" s="24">
        <f>+[9]BS17A!$U1867</f>
        <v>70</v>
      </c>
      <c r="E303" s="146">
        <f>+[9]BS17A!$V1867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+[9]BS17A!$D1868</f>
        <v>0</v>
      </c>
      <c r="D304" s="24">
        <f>+[9]BS17A!$U1868</f>
        <v>157140</v>
      </c>
      <c r="E304" s="146">
        <f>+[9]BS17A!$V1868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+[9]BS17A!$D1869</f>
        <v>0</v>
      </c>
      <c r="D305" s="40">
        <f>+[9]BS17A!$U1869</f>
        <v>10680</v>
      </c>
      <c r="E305" s="153">
        <f>+[9]BS17A!$V1869</f>
        <v>0</v>
      </c>
      <c r="F305" s="8"/>
    </row>
    <row r="306" spans="1:7" ht="15" customHeight="1" x14ac:dyDescent="0.2">
      <c r="A306" s="96"/>
      <c r="B306" s="771" t="s">
        <v>454</v>
      </c>
      <c r="C306" s="772"/>
      <c r="D306" s="191"/>
      <c r="E306" s="220">
        <f>SUM(E299:E305)</f>
        <v>14152630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45" t="s">
        <v>455</v>
      </c>
      <c r="B309" s="746"/>
      <c r="C309" s="746"/>
      <c r="D309" s="746"/>
      <c r="E309" s="747"/>
      <c r="F309" s="178"/>
      <c r="G309" s="185"/>
    </row>
    <row r="310" spans="1:7" ht="12.75" x14ac:dyDescent="0.2">
      <c r="A310" s="221"/>
      <c r="B310" s="768" t="s">
        <v>456</v>
      </c>
      <c r="C310" s="769"/>
      <c r="D310" s="770"/>
      <c r="E310" s="222">
        <f>+E235+E240+E284+E294+E306</f>
        <v>26568650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45" t="s">
        <v>457</v>
      </c>
      <c r="B313" s="746"/>
      <c r="C313" s="746"/>
      <c r="D313" s="746"/>
      <c r="E313" s="747"/>
      <c r="F313" s="178"/>
      <c r="G313" s="185"/>
    </row>
    <row r="314" spans="1:7" ht="25.5" x14ac:dyDescent="0.2">
      <c r="A314" s="756" t="s">
        <v>458</v>
      </c>
      <c r="B314" s="757"/>
      <c r="C314" s="757"/>
      <c r="D314" s="758"/>
      <c r="E314" s="11" t="s">
        <v>12</v>
      </c>
      <c r="F314" s="178"/>
      <c r="G314" s="185"/>
    </row>
    <row r="315" spans="1:7" ht="15" customHeight="1" x14ac:dyDescent="0.2">
      <c r="A315" s="221"/>
      <c r="B315" s="768" t="s">
        <v>459</v>
      </c>
      <c r="C315" s="769"/>
      <c r="D315" s="770"/>
      <c r="E315" s="222">
        <f>+E50+E76+E84+F109+E116+C121+E148+E155+E168+E207+E221+C228+E310</f>
        <v>738230527.5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45" t="s">
        <v>460</v>
      </c>
      <c r="B318" s="746"/>
      <c r="C318" s="747"/>
      <c r="D318" s="8"/>
      <c r="E318" s="8"/>
      <c r="F318" s="5"/>
    </row>
    <row r="319" spans="1:7" ht="18" customHeight="1" x14ac:dyDescent="0.2">
      <c r="A319" s="756" t="s">
        <v>461</v>
      </c>
      <c r="B319" s="757"/>
      <c r="C319" s="758"/>
      <c r="D319" s="8"/>
      <c r="E319" s="8"/>
      <c r="F319" s="5"/>
    </row>
    <row r="320" spans="1:7" ht="30.75" customHeight="1" x14ac:dyDescent="0.2">
      <c r="A320" s="745" t="s">
        <v>462</v>
      </c>
      <c r="B320" s="746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24080009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295192605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319272614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74" t="str">
        <f>[9]NOMBRE!B12</f>
        <v>Sra. María Inés Núñez González</v>
      </c>
      <c r="F338" s="774"/>
    </row>
    <row r="339" spans="1:6" ht="12.75" x14ac:dyDescent="0.2">
      <c r="A339" s="186"/>
      <c r="B339" s="186"/>
      <c r="C339" s="186"/>
      <c r="D339" s="188"/>
      <c r="E339" s="773" t="str">
        <f>[9]NOMBRE!A12</f>
        <v>Jefe de Estadisticas</v>
      </c>
      <c r="F339" s="773"/>
    </row>
    <row r="340" spans="1:6" ht="12.75" x14ac:dyDescent="0.2">
      <c r="A340" s="186"/>
      <c r="B340" s="186"/>
      <c r="C340" s="186"/>
      <c r="D340" s="186"/>
      <c r="E340" s="248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74" t="str">
        <f>[9]NOMBRE!B11</f>
        <v>Dr. Francisco Martínez Cavalla</v>
      </c>
      <c r="F347" s="774"/>
    </row>
    <row r="348" spans="1:6" ht="22.5" customHeight="1" x14ac:dyDescent="0.2">
      <c r="A348" s="186"/>
      <c r="B348" s="186"/>
      <c r="C348" s="186"/>
      <c r="D348" s="215"/>
      <c r="E348" s="773" t="str">
        <f>CONCATENATE("Director ",[9]NOMBRE!B1)</f>
        <v xml:space="preserve">Director </v>
      </c>
      <c r="F348" s="773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23" sqref="B23"/>
    </sheetView>
  </sheetViews>
  <sheetFormatPr baseColWidth="10" defaultRowHeight="15" x14ac:dyDescent="0.25"/>
  <cols>
    <col min="1" max="1" width="24.42578125" customWidth="1"/>
    <col min="2" max="2" width="83.5703125" bestFit="1" customWidth="1"/>
    <col min="3" max="3" width="16.42578125" bestFit="1" customWidth="1"/>
    <col min="4" max="4" width="13.5703125" bestFit="1" customWidth="1"/>
    <col min="5" max="5" width="17.7109375" bestFit="1" customWidth="1"/>
    <col min="6" max="6" width="21" customWidth="1"/>
  </cols>
  <sheetData>
    <row r="1" spans="1:7" x14ac:dyDescent="0.25">
      <c r="A1" s="491" t="s">
        <v>0</v>
      </c>
      <c r="B1" s="492"/>
      <c r="C1" s="742" t="s">
        <v>1</v>
      </c>
      <c r="D1" s="743"/>
      <c r="E1" s="744"/>
      <c r="F1" s="493"/>
      <c r="G1" s="490"/>
    </row>
    <row r="2" spans="1:7" x14ac:dyDescent="0.25">
      <c r="A2" s="491" t="s">
        <v>487</v>
      </c>
      <c r="B2" s="492"/>
      <c r="C2" s="739"/>
      <c r="D2" s="740"/>
      <c r="E2" s="741"/>
      <c r="F2" s="494"/>
      <c r="G2" s="495"/>
    </row>
    <row r="3" spans="1:7" x14ac:dyDescent="0.25">
      <c r="A3" s="491" t="s">
        <v>488</v>
      </c>
      <c r="B3" s="492"/>
      <c r="C3" s="742" t="s">
        <v>2</v>
      </c>
      <c r="D3" s="743"/>
      <c r="E3" s="744"/>
      <c r="F3" s="494"/>
      <c r="G3" s="496"/>
    </row>
    <row r="4" spans="1:7" x14ac:dyDescent="0.25">
      <c r="A4" s="491" t="s">
        <v>489</v>
      </c>
      <c r="B4" s="492"/>
      <c r="C4" s="739" t="s">
        <v>490</v>
      </c>
      <c r="D4" s="740"/>
      <c r="E4" s="741"/>
      <c r="F4" s="494"/>
      <c r="G4" s="496"/>
    </row>
    <row r="5" spans="1:7" x14ac:dyDescent="0.25">
      <c r="A5" s="491" t="s">
        <v>481</v>
      </c>
      <c r="B5" s="492"/>
      <c r="C5" s="742" t="s">
        <v>3</v>
      </c>
      <c r="D5" s="743"/>
      <c r="E5" s="744"/>
      <c r="F5" s="494"/>
      <c r="G5" s="496"/>
    </row>
    <row r="6" spans="1:7" x14ac:dyDescent="0.25">
      <c r="A6" s="497"/>
      <c r="B6" s="497"/>
      <c r="C6" s="739">
        <v>2015</v>
      </c>
      <c r="D6" s="740"/>
      <c r="E6" s="741"/>
      <c r="F6" s="494"/>
      <c r="G6" s="496"/>
    </row>
    <row r="7" spans="1:7" ht="15.75" x14ac:dyDescent="0.25">
      <c r="A7" s="748" t="s">
        <v>4</v>
      </c>
      <c r="B7" s="749"/>
      <c r="C7" s="750" t="s">
        <v>5</v>
      </c>
      <c r="D7" s="751"/>
      <c r="E7" s="752"/>
      <c r="F7" s="494"/>
      <c r="G7" s="496"/>
    </row>
    <row r="8" spans="1:7" ht="15.75" x14ac:dyDescent="0.25">
      <c r="A8" s="497"/>
      <c r="B8" s="718" t="s">
        <v>6</v>
      </c>
      <c r="C8" s="739" t="s">
        <v>491</v>
      </c>
      <c r="D8" s="740"/>
      <c r="E8" s="741"/>
      <c r="F8" s="494"/>
      <c r="G8" s="496"/>
    </row>
    <row r="9" spans="1:7" x14ac:dyDescent="0.25">
      <c r="A9" s="497"/>
      <c r="B9" s="497"/>
      <c r="C9" s="497"/>
      <c r="D9" s="497"/>
      <c r="E9" s="497"/>
      <c r="F9" s="494"/>
      <c r="G9" s="496"/>
    </row>
    <row r="10" spans="1:7" x14ac:dyDescent="0.25">
      <c r="A10" s="497"/>
      <c r="B10" s="497"/>
      <c r="C10" s="497"/>
      <c r="D10" s="497"/>
      <c r="E10" s="497"/>
      <c r="F10" s="494"/>
      <c r="G10" s="498"/>
    </row>
    <row r="11" spans="1:7" x14ac:dyDescent="0.25">
      <c r="A11" s="753" t="s">
        <v>7</v>
      </c>
      <c r="B11" s="754"/>
      <c r="C11" s="754"/>
      <c r="D11" s="754"/>
      <c r="E11" s="755"/>
      <c r="F11" s="494"/>
      <c r="G11" s="490"/>
    </row>
    <row r="12" spans="1:7" ht="76.5" x14ac:dyDescent="0.25">
      <c r="A12" s="499" t="s">
        <v>8</v>
      </c>
      <c r="B12" s="499" t="s">
        <v>9</v>
      </c>
      <c r="C12" s="500" t="s">
        <v>10</v>
      </c>
      <c r="D12" s="545" t="s">
        <v>11</v>
      </c>
      <c r="E12" s="501" t="s">
        <v>12</v>
      </c>
      <c r="F12" s="497"/>
      <c r="G12" s="490"/>
    </row>
    <row r="13" spans="1:7" x14ac:dyDescent="0.25">
      <c r="A13" s="756" t="s">
        <v>13</v>
      </c>
      <c r="B13" s="757"/>
      <c r="C13" s="757"/>
      <c r="D13" s="757"/>
      <c r="E13" s="758"/>
      <c r="F13" s="497"/>
      <c r="G13" s="490"/>
    </row>
    <row r="14" spans="1:7" x14ac:dyDescent="0.25">
      <c r="A14" s="668" t="s">
        <v>14</v>
      </c>
      <c r="B14" s="677" t="s">
        <v>15</v>
      </c>
      <c r="C14" s="614">
        <v>0</v>
      </c>
      <c r="D14" s="502">
        <v>4300</v>
      </c>
      <c r="E14" s="503">
        <v>0</v>
      </c>
      <c r="F14" s="497"/>
      <c r="G14" s="490"/>
    </row>
    <row r="15" spans="1:7" x14ac:dyDescent="0.25">
      <c r="A15" s="669" t="s">
        <v>16</v>
      </c>
      <c r="B15" s="665" t="s">
        <v>17</v>
      </c>
      <c r="C15" s="614">
        <v>0</v>
      </c>
      <c r="D15" s="505">
        <v>5400</v>
      </c>
      <c r="E15" s="506">
        <v>0</v>
      </c>
      <c r="F15" s="497"/>
      <c r="G15" s="490"/>
    </row>
    <row r="16" spans="1:7" x14ac:dyDescent="0.25">
      <c r="A16" s="669" t="s">
        <v>18</v>
      </c>
      <c r="B16" s="665" t="s">
        <v>19</v>
      </c>
      <c r="C16" s="614">
        <v>6228</v>
      </c>
      <c r="D16" s="505">
        <v>11590</v>
      </c>
      <c r="E16" s="506">
        <v>72182520</v>
      </c>
      <c r="F16" s="497"/>
      <c r="G16" s="490"/>
    </row>
    <row r="17" spans="1:6" x14ac:dyDescent="0.25">
      <c r="A17" s="669" t="s">
        <v>20</v>
      </c>
      <c r="B17" s="665" t="s">
        <v>21</v>
      </c>
      <c r="C17" s="614">
        <v>0</v>
      </c>
      <c r="D17" s="505">
        <v>6920</v>
      </c>
      <c r="E17" s="506">
        <v>0</v>
      </c>
      <c r="F17" s="497"/>
    </row>
    <row r="18" spans="1:6" x14ac:dyDescent="0.25">
      <c r="A18" s="669" t="s">
        <v>22</v>
      </c>
      <c r="B18" s="665" t="s">
        <v>23</v>
      </c>
      <c r="C18" s="614">
        <v>0</v>
      </c>
      <c r="D18" s="505">
        <v>7590</v>
      </c>
      <c r="E18" s="506">
        <v>0</v>
      </c>
      <c r="F18" s="497"/>
    </row>
    <row r="19" spans="1:6" ht="25.5" x14ac:dyDescent="0.25">
      <c r="A19" s="669" t="s">
        <v>24</v>
      </c>
      <c r="B19" s="717" t="s">
        <v>25</v>
      </c>
      <c r="C19" s="614">
        <v>0</v>
      </c>
      <c r="D19" s="505">
        <v>5860</v>
      </c>
      <c r="E19" s="506">
        <v>0</v>
      </c>
      <c r="F19" s="497"/>
    </row>
    <row r="20" spans="1:6" ht="25.5" x14ac:dyDescent="0.25">
      <c r="A20" s="669" t="s">
        <v>26</v>
      </c>
      <c r="B20" s="717" t="s">
        <v>27</v>
      </c>
      <c r="C20" s="614">
        <v>0</v>
      </c>
      <c r="D20" s="505">
        <v>7020</v>
      </c>
      <c r="E20" s="506">
        <v>0</v>
      </c>
      <c r="F20" s="497"/>
    </row>
    <row r="21" spans="1:6" ht="25.5" x14ac:dyDescent="0.25">
      <c r="A21" s="669" t="s">
        <v>28</v>
      </c>
      <c r="B21" s="717" t="s">
        <v>29</v>
      </c>
      <c r="C21" s="614">
        <v>0</v>
      </c>
      <c r="D21" s="505">
        <v>8710</v>
      </c>
      <c r="E21" s="506">
        <v>0</v>
      </c>
      <c r="F21" s="497"/>
    </row>
    <row r="22" spans="1:6" ht="25.5" x14ac:dyDescent="0.25">
      <c r="A22" s="669" t="s">
        <v>30</v>
      </c>
      <c r="B22" s="717" t="s">
        <v>31</v>
      </c>
      <c r="C22" s="614">
        <v>1860</v>
      </c>
      <c r="D22" s="505">
        <v>5860</v>
      </c>
      <c r="E22" s="506">
        <v>10899600</v>
      </c>
      <c r="F22" s="497"/>
    </row>
    <row r="23" spans="1:6" ht="38.25" x14ac:dyDescent="0.25">
      <c r="A23" s="669" t="s">
        <v>32</v>
      </c>
      <c r="B23" s="717" t="s">
        <v>33</v>
      </c>
      <c r="C23" s="614">
        <v>1006</v>
      </c>
      <c r="D23" s="505">
        <v>7020</v>
      </c>
      <c r="E23" s="506">
        <v>7062120</v>
      </c>
      <c r="F23" s="497"/>
    </row>
    <row r="24" spans="1:6" ht="25.5" x14ac:dyDescent="0.25">
      <c r="A24" s="669" t="s">
        <v>34</v>
      </c>
      <c r="B24" s="717" t="s">
        <v>35</v>
      </c>
      <c r="C24" s="614">
        <v>2404</v>
      </c>
      <c r="D24" s="505">
        <v>8710</v>
      </c>
      <c r="E24" s="506">
        <v>20938840</v>
      </c>
      <c r="F24" s="497"/>
    </row>
    <row r="25" spans="1:6" x14ac:dyDescent="0.25">
      <c r="A25" s="669" t="s">
        <v>36</v>
      </c>
      <c r="B25" s="664" t="s">
        <v>37</v>
      </c>
      <c r="C25" s="614">
        <v>249</v>
      </c>
      <c r="D25" s="505">
        <v>7110</v>
      </c>
      <c r="E25" s="506">
        <v>1770390</v>
      </c>
      <c r="F25" s="497"/>
    </row>
    <row r="26" spans="1:6" x14ac:dyDescent="0.25">
      <c r="A26" s="670" t="s">
        <v>38</v>
      </c>
      <c r="B26" s="684" t="s">
        <v>39</v>
      </c>
      <c r="C26" s="629">
        <v>0</v>
      </c>
      <c r="D26" s="507">
        <v>29440</v>
      </c>
      <c r="E26" s="508">
        <v>0</v>
      </c>
      <c r="F26" s="497"/>
    </row>
    <row r="27" spans="1:6" x14ac:dyDescent="0.25">
      <c r="A27" s="756" t="s">
        <v>40</v>
      </c>
      <c r="B27" s="757"/>
      <c r="C27" s="757"/>
      <c r="D27" s="757"/>
      <c r="E27" s="758"/>
      <c r="F27" s="497"/>
    </row>
    <row r="28" spans="1:6" x14ac:dyDescent="0.25">
      <c r="A28" s="668" t="s">
        <v>41</v>
      </c>
      <c r="B28" s="677" t="s">
        <v>42</v>
      </c>
      <c r="C28" s="617">
        <v>1956</v>
      </c>
      <c r="D28" s="502">
        <v>1140</v>
      </c>
      <c r="E28" s="503">
        <v>2229840</v>
      </c>
      <c r="F28" s="497"/>
    </row>
    <row r="29" spans="1:6" x14ac:dyDescent="0.25">
      <c r="A29" s="669" t="s">
        <v>43</v>
      </c>
      <c r="B29" s="683" t="s">
        <v>44</v>
      </c>
      <c r="C29" s="614">
        <v>0</v>
      </c>
      <c r="D29" s="505">
        <v>1960</v>
      </c>
      <c r="E29" s="506">
        <v>0</v>
      </c>
      <c r="F29" s="497"/>
    </row>
    <row r="30" spans="1:6" x14ac:dyDescent="0.25">
      <c r="A30" s="669" t="s">
        <v>45</v>
      </c>
      <c r="B30" s="665" t="s">
        <v>46</v>
      </c>
      <c r="C30" s="614">
        <v>0</v>
      </c>
      <c r="D30" s="505">
        <v>630</v>
      </c>
      <c r="E30" s="506">
        <v>0</v>
      </c>
      <c r="F30" s="497"/>
    </row>
    <row r="31" spans="1:6" x14ac:dyDescent="0.25">
      <c r="A31" s="669" t="s">
        <v>47</v>
      </c>
      <c r="B31" s="665" t="s">
        <v>48</v>
      </c>
      <c r="C31" s="614">
        <v>123</v>
      </c>
      <c r="D31" s="505">
        <v>1550</v>
      </c>
      <c r="E31" s="506">
        <v>190650</v>
      </c>
      <c r="F31" s="497"/>
    </row>
    <row r="32" spans="1:6" x14ac:dyDescent="0.25">
      <c r="A32" s="669" t="s">
        <v>49</v>
      </c>
      <c r="B32" s="665" t="s">
        <v>50</v>
      </c>
      <c r="C32" s="614">
        <v>1732</v>
      </c>
      <c r="D32" s="505">
        <v>1250</v>
      </c>
      <c r="E32" s="506">
        <v>2165000</v>
      </c>
      <c r="F32" s="497"/>
    </row>
    <row r="33" spans="1:6" x14ac:dyDescent="0.25">
      <c r="A33" s="669" t="s">
        <v>51</v>
      </c>
      <c r="B33" s="683" t="s">
        <v>52</v>
      </c>
      <c r="C33" s="614">
        <v>0</v>
      </c>
      <c r="D33" s="505">
        <v>1140</v>
      </c>
      <c r="E33" s="506">
        <v>0</v>
      </c>
      <c r="F33" s="497"/>
    </row>
    <row r="34" spans="1:6" x14ac:dyDescent="0.25">
      <c r="A34" s="669" t="s">
        <v>53</v>
      </c>
      <c r="B34" s="665" t="s">
        <v>54</v>
      </c>
      <c r="C34" s="614">
        <v>257</v>
      </c>
      <c r="D34" s="505">
        <v>2780</v>
      </c>
      <c r="E34" s="506">
        <v>714460</v>
      </c>
      <c r="F34" s="497"/>
    </row>
    <row r="35" spans="1:6" x14ac:dyDescent="0.25">
      <c r="A35" s="669" t="s">
        <v>55</v>
      </c>
      <c r="B35" s="683" t="s">
        <v>56</v>
      </c>
      <c r="C35" s="614">
        <v>632</v>
      </c>
      <c r="D35" s="505">
        <v>2780</v>
      </c>
      <c r="E35" s="506">
        <v>1756960</v>
      </c>
      <c r="F35" s="497"/>
    </row>
    <row r="36" spans="1:6" x14ac:dyDescent="0.25">
      <c r="A36" s="669" t="s">
        <v>57</v>
      </c>
      <c r="B36" s="683" t="s">
        <v>58</v>
      </c>
      <c r="C36" s="614">
        <v>6</v>
      </c>
      <c r="D36" s="505">
        <v>11080</v>
      </c>
      <c r="E36" s="506">
        <v>66480</v>
      </c>
      <c r="F36" s="497"/>
    </row>
    <row r="37" spans="1:6" x14ac:dyDescent="0.25">
      <c r="A37" s="670" t="s">
        <v>59</v>
      </c>
      <c r="B37" s="716" t="s">
        <v>60</v>
      </c>
      <c r="C37" s="629">
        <v>78</v>
      </c>
      <c r="D37" s="507">
        <v>12980</v>
      </c>
      <c r="E37" s="508">
        <v>1012440</v>
      </c>
      <c r="F37" s="497"/>
    </row>
    <row r="38" spans="1:6" x14ac:dyDescent="0.25">
      <c r="A38" s="759" t="s">
        <v>61</v>
      </c>
      <c r="B38" s="760"/>
      <c r="C38" s="760"/>
      <c r="D38" s="760"/>
      <c r="E38" s="761"/>
      <c r="F38" s="497"/>
    </row>
    <row r="39" spans="1:6" x14ac:dyDescent="0.25">
      <c r="A39" s="668" t="s">
        <v>62</v>
      </c>
      <c r="B39" s="663" t="s">
        <v>63</v>
      </c>
      <c r="C39" s="617">
        <v>0</v>
      </c>
      <c r="D39" s="510">
        <v>3657</v>
      </c>
      <c r="E39" s="511">
        <v>0</v>
      </c>
      <c r="F39" s="497"/>
    </row>
    <row r="40" spans="1:6" x14ac:dyDescent="0.25">
      <c r="A40" s="670" t="s">
        <v>64</v>
      </c>
      <c r="B40" s="678" t="s">
        <v>65</v>
      </c>
      <c r="C40" s="629">
        <v>0</v>
      </c>
      <c r="D40" s="512">
        <v>9455</v>
      </c>
      <c r="E40" s="513">
        <v>0</v>
      </c>
      <c r="F40" s="497"/>
    </row>
    <row r="41" spans="1:6" x14ac:dyDescent="0.25">
      <c r="A41" s="759" t="s">
        <v>66</v>
      </c>
      <c r="B41" s="760"/>
      <c r="C41" s="760"/>
      <c r="D41" s="760"/>
      <c r="E41" s="761"/>
      <c r="F41" s="497"/>
    </row>
    <row r="42" spans="1:6" x14ac:dyDescent="0.25">
      <c r="A42" s="668" t="s">
        <v>67</v>
      </c>
      <c r="B42" s="685" t="s">
        <v>68</v>
      </c>
      <c r="C42" s="617">
        <v>68</v>
      </c>
      <c r="D42" s="510">
        <v>3750</v>
      </c>
      <c r="E42" s="511">
        <v>255000</v>
      </c>
      <c r="F42" s="497"/>
    </row>
    <row r="43" spans="1:6" x14ac:dyDescent="0.25">
      <c r="A43" s="669" t="s">
        <v>69</v>
      </c>
      <c r="B43" s="665" t="s">
        <v>70</v>
      </c>
      <c r="C43" s="614">
        <v>351</v>
      </c>
      <c r="D43" s="505">
        <v>2060</v>
      </c>
      <c r="E43" s="506">
        <v>723060</v>
      </c>
      <c r="F43" s="497"/>
    </row>
    <row r="44" spans="1:6" x14ac:dyDescent="0.25">
      <c r="A44" s="669" t="s">
        <v>71</v>
      </c>
      <c r="B44" s="665" t="s">
        <v>72</v>
      </c>
      <c r="C44" s="614">
        <v>0</v>
      </c>
      <c r="D44" s="505">
        <v>2060</v>
      </c>
      <c r="E44" s="506">
        <v>0</v>
      </c>
      <c r="F44" s="497"/>
    </row>
    <row r="45" spans="1:6" x14ac:dyDescent="0.25">
      <c r="A45" s="670" t="s">
        <v>73</v>
      </c>
      <c r="B45" s="666" t="s">
        <v>74</v>
      </c>
      <c r="C45" s="629">
        <v>360</v>
      </c>
      <c r="D45" s="512">
        <v>630</v>
      </c>
      <c r="E45" s="513">
        <v>226800</v>
      </c>
      <c r="F45" s="497"/>
    </row>
    <row r="46" spans="1:6" x14ac:dyDescent="0.25">
      <c r="A46" s="759" t="s">
        <v>75</v>
      </c>
      <c r="B46" s="760"/>
      <c r="C46" s="760"/>
      <c r="D46" s="760"/>
      <c r="E46" s="761"/>
      <c r="F46" s="497"/>
    </row>
    <row r="47" spans="1:6" x14ac:dyDescent="0.25">
      <c r="A47" s="668" t="s">
        <v>76</v>
      </c>
      <c r="B47" s="685" t="s">
        <v>77</v>
      </c>
      <c r="C47" s="617">
        <v>222</v>
      </c>
      <c r="D47" s="510">
        <v>1780</v>
      </c>
      <c r="E47" s="511">
        <v>395160</v>
      </c>
      <c r="F47" s="497"/>
    </row>
    <row r="48" spans="1:6" x14ac:dyDescent="0.25">
      <c r="A48" s="669" t="s">
        <v>78</v>
      </c>
      <c r="B48" s="665" t="s">
        <v>79</v>
      </c>
      <c r="C48" s="614">
        <v>33</v>
      </c>
      <c r="D48" s="505">
        <v>1780</v>
      </c>
      <c r="E48" s="506">
        <v>58740</v>
      </c>
      <c r="F48" s="497"/>
    </row>
    <row r="49" spans="1:7" x14ac:dyDescent="0.25">
      <c r="A49" s="670" t="s">
        <v>80</v>
      </c>
      <c r="B49" s="666" t="s">
        <v>81</v>
      </c>
      <c r="C49" s="629">
        <v>134</v>
      </c>
      <c r="D49" s="512">
        <v>1030</v>
      </c>
      <c r="E49" s="513">
        <v>138020</v>
      </c>
      <c r="F49" s="497"/>
      <c r="G49" s="490"/>
    </row>
    <row r="50" spans="1:7" x14ac:dyDescent="0.25">
      <c r="A50" s="514"/>
      <c r="B50" s="645" t="s">
        <v>82</v>
      </c>
      <c r="C50" s="514">
        <v>17699</v>
      </c>
      <c r="D50" s="515"/>
      <c r="E50" s="516">
        <v>122786080</v>
      </c>
      <c r="F50" s="497"/>
      <c r="G50" s="490"/>
    </row>
    <row r="51" spans="1:7" x14ac:dyDescent="0.25">
      <c r="A51" s="517"/>
      <c r="B51" s="517"/>
      <c r="C51" s="517"/>
      <c r="D51" s="518"/>
      <c r="E51" s="519"/>
      <c r="F51" s="497"/>
      <c r="G51" s="490"/>
    </row>
    <row r="52" spans="1:7" x14ac:dyDescent="0.25">
      <c r="A52" s="497"/>
      <c r="B52" s="497"/>
      <c r="C52" s="497"/>
      <c r="D52" s="497"/>
      <c r="E52" s="497"/>
      <c r="F52" s="520"/>
      <c r="G52" s="521"/>
    </row>
    <row r="53" spans="1:7" x14ac:dyDescent="0.25">
      <c r="A53" s="759" t="s">
        <v>83</v>
      </c>
      <c r="B53" s="760"/>
      <c r="C53" s="760"/>
      <c r="D53" s="760"/>
      <c r="E53" s="761"/>
      <c r="F53" s="520"/>
      <c r="G53" s="521"/>
    </row>
    <row r="54" spans="1:7" ht="51" x14ac:dyDescent="0.25">
      <c r="A54" s="499" t="s">
        <v>8</v>
      </c>
      <c r="B54" s="499" t="s">
        <v>84</v>
      </c>
      <c r="C54" s="500" t="s">
        <v>10</v>
      </c>
      <c r="D54" s="546"/>
      <c r="E54" s="501" t="s">
        <v>12</v>
      </c>
      <c r="F54" s="497"/>
      <c r="G54" s="490"/>
    </row>
    <row r="55" spans="1:7" x14ac:dyDescent="0.25">
      <c r="A55" s="626" t="s">
        <v>85</v>
      </c>
      <c r="B55" s="706" t="s">
        <v>86</v>
      </c>
      <c r="C55" s="551">
        <v>64608</v>
      </c>
      <c r="D55" s="523"/>
      <c r="E55" s="524">
        <v>94268220</v>
      </c>
      <c r="F55" s="497"/>
      <c r="G55" s="490"/>
    </row>
    <row r="56" spans="1:7" x14ac:dyDescent="0.25">
      <c r="A56" s="704" t="s">
        <v>87</v>
      </c>
      <c r="B56" s="677" t="s">
        <v>88</v>
      </c>
      <c r="C56" s="660">
        <v>24893</v>
      </c>
      <c r="D56" s="525"/>
      <c r="E56" s="526">
        <v>26216650</v>
      </c>
      <c r="F56" s="497"/>
      <c r="G56" s="490"/>
    </row>
    <row r="57" spans="1:7" x14ac:dyDescent="0.25">
      <c r="A57" s="669" t="s">
        <v>89</v>
      </c>
      <c r="B57" s="664" t="s">
        <v>90</v>
      </c>
      <c r="C57" s="614">
        <v>27458</v>
      </c>
      <c r="D57" s="528"/>
      <c r="E57" s="529">
        <v>34068700</v>
      </c>
      <c r="F57" s="497"/>
      <c r="G57" s="490"/>
    </row>
    <row r="58" spans="1:7" x14ac:dyDescent="0.25">
      <c r="A58" s="669" t="s">
        <v>91</v>
      </c>
      <c r="B58" s="664" t="s">
        <v>92</v>
      </c>
      <c r="C58" s="614">
        <v>1353</v>
      </c>
      <c r="D58" s="528"/>
      <c r="E58" s="529">
        <v>4831970</v>
      </c>
      <c r="F58" s="497"/>
      <c r="G58" s="490"/>
    </row>
    <row r="59" spans="1:7" x14ac:dyDescent="0.25">
      <c r="A59" s="669" t="s">
        <v>93</v>
      </c>
      <c r="B59" s="664" t="s">
        <v>94</v>
      </c>
      <c r="C59" s="614">
        <v>0</v>
      </c>
      <c r="D59" s="528"/>
      <c r="E59" s="529">
        <v>0</v>
      </c>
      <c r="F59" s="497"/>
      <c r="G59" s="490"/>
    </row>
    <row r="60" spans="1:7" x14ac:dyDescent="0.25">
      <c r="A60" s="699" t="s">
        <v>95</v>
      </c>
      <c r="B60" s="684" t="s">
        <v>96</v>
      </c>
      <c r="C60" s="644">
        <v>1521</v>
      </c>
      <c r="D60" s="530"/>
      <c r="E60" s="531">
        <v>7443670</v>
      </c>
      <c r="F60" s="497"/>
      <c r="G60" s="490"/>
    </row>
    <row r="61" spans="1:7" x14ac:dyDescent="0.25">
      <c r="A61" s="668" t="s">
        <v>97</v>
      </c>
      <c r="B61" s="707" t="s">
        <v>98</v>
      </c>
      <c r="C61" s="646">
        <v>6446</v>
      </c>
      <c r="D61" s="532"/>
      <c r="E61" s="533">
        <v>17892280</v>
      </c>
      <c r="F61" s="497"/>
      <c r="G61" s="490"/>
    </row>
    <row r="62" spans="1:7" x14ac:dyDescent="0.25">
      <c r="A62" s="710"/>
      <c r="B62" s="685" t="s">
        <v>99</v>
      </c>
      <c r="C62" s="617">
        <v>4784</v>
      </c>
      <c r="D62" s="534"/>
      <c r="E62" s="535">
        <v>11139740</v>
      </c>
      <c r="F62" s="497"/>
      <c r="G62" s="490"/>
    </row>
    <row r="63" spans="1:7" x14ac:dyDescent="0.25">
      <c r="A63" s="710"/>
      <c r="B63" s="664" t="s">
        <v>100</v>
      </c>
      <c r="C63" s="614">
        <v>54</v>
      </c>
      <c r="D63" s="528"/>
      <c r="E63" s="529">
        <v>157990</v>
      </c>
      <c r="F63" s="497"/>
      <c r="G63" s="490"/>
    </row>
    <row r="64" spans="1:7" x14ac:dyDescent="0.25">
      <c r="A64" s="711"/>
      <c r="B64" s="666" t="s">
        <v>101</v>
      </c>
      <c r="C64" s="629">
        <v>1608</v>
      </c>
      <c r="D64" s="536"/>
      <c r="E64" s="537">
        <v>6594550</v>
      </c>
      <c r="F64" s="497"/>
      <c r="G64" s="490"/>
    </row>
    <row r="65" spans="1:7" x14ac:dyDescent="0.25">
      <c r="A65" s="704" t="s">
        <v>102</v>
      </c>
      <c r="B65" s="703" t="s">
        <v>103</v>
      </c>
      <c r="C65" s="660">
        <v>0</v>
      </c>
      <c r="D65" s="525"/>
      <c r="E65" s="526">
        <v>0</v>
      </c>
      <c r="F65" s="497"/>
      <c r="G65" s="490"/>
    </row>
    <row r="66" spans="1:7" x14ac:dyDescent="0.25">
      <c r="A66" s="669" t="s">
        <v>104</v>
      </c>
      <c r="B66" s="664" t="s">
        <v>105</v>
      </c>
      <c r="C66" s="614">
        <v>53</v>
      </c>
      <c r="D66" s="528"/>
      <c r="E66" s="529">
        <v>88880</v>
      </c>
      <c r="F66" s="497"/>
      <c r="G66" s="490"/>
    </row>
    <row r="67" spans="1:7" x14ac:dyDescent="0.25">
      <c r="A67" s="699" t="s">
        <v>106</v>
      </c>
      <c r="B67" s="684" t="s">
        <v>107</v>
      </c>
      <c r="C67" s="644">
        <v>2884</v>
      </c>
      <c r="D67" s="530"/>
      <c r="E67" s="531">
        <v>3726070</v>
      </c>
      <c r="F67" s="497"/>
      <c r="G67" s="490"/>
    </row>
    <row r="68" spans="1:7" x14ac:dyDescent="0.25">
      <c r="A68" s="712" t="s">
        <v>108</v>
      </c>
      <c r="B68" s="702" t="s">
        <v>109</v>
      </c>
      <c r="C68" s="661">
        <v>4434</v>
      </c>
      <c r="D68" s="538"/>
      <c r="E68" s="539">
        <v>81856100</v>
      </c>
      <c r="F68" s="497"/>
      <c r="G68" s="490"/>
    </row>
    <row r="69" spans="1:7" x14ac:dyDescent="0.25">
      <c r="A69" s="669" t="s">
        <v>110</v>
      </c>
      <c r="B69" s="664" t="s">
        <v>111</v>
      </c>
      <c r="C69" s="614">
        <v>2823</v>
      </c>
      <c r="D69" s="528"/>
      <c r="E69" s="529">
        <v>23027660</v>
      </c>
      <c r="F69" s="497"/>
      <c r="G69" s="490"/>
    </row>
    <row r="70" spans="1:7" x14ac:dyDescent="0.25">
      <c r="A70" s="669" t="s">
        <v>112</v>
      </c>
      <c r="B70" s="664" t="s">
        <v>113</v>
      </c>
      <c r="C70" s="614">
        <v>6</v>
      </c>
      <c r="D70" s="528"/>
      <c r="E70" s="529">
        <v>123910</v>
      </c>
      <c r="F70" s="497"/>
      <c r="G70" s="490"/>
    </row>
    <row r="71" spans="1:7" x14ac:dyDescent="0.25">
      <c r="A71" s="669" t="s">
        <v>114</v>
      </c>
      <c r="B71" s="664" t="s">
        <v>115</v>
      </c>
      <c r="C71" s="614">
        <v>937</v>
      </c>
      <c r="D71" s="528"/>
      <c r="E71" s="529">
        <v>49237270</v>
      </c>
      <c r="F71" s="497"/>
      <c r="G71" s="490"/>
    </row>
    <row r="72" spans="1:7" x14ac:dyDescent="0.25">
      <c r="A72" s="669" t="s">
        <v>116</v>
      </c>
      <c r="B72" s="664" t="s">
        <v>117</v>
      </c>
      <c r="C72" s="614">
        <v>536</v>
      </c>
      <c r="D72" s="528"/>
      <c r="E72" s="529">
        <v>8775580</v>
      </c>
      <c r="F72" s="497"/>
      <c r="G72" s="490"/>
    </row>
    <row r="73" spans="1:7" x14ac:dyDescent="0.25">
      <c r="A73" s="713"/>
      <c r="B73" s="664" t="s">
        <v>118</v>
      </c>
      <c r="C73" s="614">
        <v>132</v>
      </c>
      <c r="D73" s="528"/>
      <c r="E73" s="529">
        <v>691680</v>
      </c>
      <c r="F73" s="497"/>
      <c r="G73" s="490"/>
    </row>
    <row r="74" spans="1:7" x14ac:dyDescent="0.25">
      <c r="A74" s="714" t="s">
        <v>119</v>
      </c>
      <c r="B74" s="708" t="s">
        <v>120</v>
      </c>
      <c r="C74" s="651">
        <v>0</v>
      </c>
      <c r="D74" s="623"/>
      <c r="E74" s="624">
        <v>0</v>
      </c>
      <c r="F74" s="497"/>
      <c r="G74" s="490"/>
    </row>
    <row r="75" spans="1:7" x14ac:dyDescent="0.25">
      <c r="A75" s="715" t="s">
        <v>121</v>
      </c>
      <c r="B75" s="709" t="s">
        <v>122</v>
      </c>
      <c r="C75" s="662">
        <v>0</v>
      </c>
      <c r="D75" s="540"/>
      <c r="E75" s="541">
        <v>0</v>
      </c>
      <c r="F75" s="497"/>
      <c r="G75" s="490"/>
    </row>
    <row r="76" spans="1:7" x14ac:dyDescent="0.25">
      <c r="A76" s="671"/>
      <c r="B76" s="667" t="s">
        <v>123</v>
      </c>
      <c r="C76" s="551">
        <v>69042</v>
      </c>
      <c r="D76" s="523"/>
      <c r="E76" s="543">
        <v>176124320</v>
      </c>
      <c r="F76" s="497"/>
      <c r="G76" s="490"/>
    </row>
    <row r="77" spans="1:7" x14ac:dyDescent="0.25">
      <c r="A77" s="497"/>
      <c r="B77" s="497"/>
      <c r="C77" s="497"/>
      <c r="D77" s="497"/>
      <c r="E77" s="497"/>
      <c r="F77" s="520"/>
      <c r="G77" s="521"/>
    </row>
    <row r="78" spans="1:7" x14ac:dyDescent="0.25">
      <c r="A78" s="497"/>
      <c r="B78" s="497"/>
      <c r="C78" s="497"/>
      <c r="D78" s="497"/>
      <c r="E78" s="497"/>
      <c r="F78" s="520"/>
      <c r="G78" s="521"/>
    </row>
    <row r="79" spans="1:7" x14ac:dyDescent="0.25">
      <c r="A79" s="753" t="s">
        <v>124</v>
      </c>
      <c r="B79" s="754"/>
      <c r="C79" s="754"/>
      <c r="D79" s="754"/>
      <c r="E79" s="755"/>
      <c r="F79" s="520"/>
      <c r="G79" s="521"/>
    </row>
    <row r="80" spans="1:7" ht="51" x14ac:dyDescent="0.25">
      <c r="A80" s="499" t="s">
        <v>8</v>
      </c>
      <c r="B80" s="625" t="s">
        <v>9</v>
      </c>
      <c r="C80" s="544" t="s">
        <v>10</v>
      </c>
      <c r="D80" s="546"/>
      <c r="E80" s="547" t="s">
        <v>12</v>
      </c>
      <c r="F80" s="520"/>
      <c r="G80" s="521"/>
    </row>
    <row r="81" spans="1:6" x14ac:dyDescent="0.25">
      <c r="A81" s="705" t="s">
        <v>125</v>
      </c>
      <c r="B81" s="677" t="s">
        <v>126</v>
      </c>
      <c r="C81" s="617">
        <v>0</v>
      </c>
      <c r="D81" s="525"/>
      <c r="E81" s="548">
        <v>0</v>
      </c>
      <c r="F81" s="497"/>
    </row>
    <row r="82" spans="1:6" x14ac:dyDescent="0.25">
      <c r="A82" s="691">
        <v>2001</v>
      </c>
      <c r="B82" s="664" t="s">
        <v>127</v>
      </c>
      <c r="C82" s="614">
        <v>1266</v>
      </c>
      <c r="D82" s="528"/>
      <c r="E82" s="549">
        <v>11446690</v>
      </c>
      <c r="F82" s="497"/>
    </row>
    <row r="83" spans="1:6" x14ac:dyDescent="0.25">
      <c r="A83" s="699" t="s">
        <v>128</v>
      </c>
      <c r="B83" s="684" t="s">
        <v>129</v>
      </c>
      <c r="C83" s="644">
        <v>38</v>
      </c>
      <c r="D83" s="530"/>
      <c r="E83" s="550">
        <v>2647570</v>
      </c>
      <c r="F83" s="497"/>
    </row>
    <row r="84" spans="1:6" x14ac:dyDescent="0.25">
      <c r="A84" s="671"/>
      <c r="B84" s="667" t="s">
        <v>130</v>
      </c>
      <c r="C84" s="551">
        <v>1304</v>
      </c>
      <c r="D84" s="523"/>
      <c r="E84" s="552">
        <v>14094260</v>
      </c>
      <c r="F84" s="497"/>
    </row>
    <row r="85" spans="1:6" x14ac:dyDescent="0.25">
      <c r="A85" s="497"/>
      <c r="B85" s="497"/>
      <c r="C85" s="497"/>
      <c r="D85" s="497"/>
      <c r="E85" s="497"/>
      <c r="F85" s="497"/>
    </row>
    <row r="86" spans="1:6" x14ac:dyDescent="0.25">
      <c r="A86" s="497"/>
      <c r="B86" s="497"/>
      <c r="C86" s="497"/>
      <c r="D86" s="497"/>
      <c r="E86" s="497"/>
      <c r="F86" s="494"/>
    </row>
    <row r="87" spans="1:6" x14ac:dyDescent="0.25">
      <c r="A87" s="745" t="s">
        <v>131</v>
      </c>
      <c r="B87" s="746"/>
      <c r="C87" s="746"/>
      <c r="D87" s="746"/>
      <c r="E87" s="746"/>
      <c r="F87" s="747"/>
    </row>
    <row r="88" spans="1:6" ht="15" customHeight="1" x14ac:dyDescent="0.2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38.25" x14ac:dyDescent="0.25">
      <c r="A89" s="763"/>
      <c r="B89" s="763"/>
      <c r="C89" s="625" t="s">
        <v>132</v>
      </c>
      <c r="D89" s="628" t="s">
        <v>133</v>
      </c>
      <c r="E89" s="545" t="s">
        <v>134</v>
      </c>
      <c r="F89" s="501" t="s">
        <v>12</v>
      </c>
    </row>
    <row r="90" spans="1:6" x14ac:dyDescent="0.25">
      <c r="A90" s="668" t="s">
        <v>135</v>
      </c>
      <c r="B90" s="663" t="s">
        <v>136</v>
      </c>
      <c r="C90" s="654">
        <v>0</v>
      </c>
      <c r="D90" s="553">
        <v>0</v>
      </c>
      <c r="E90" s="554">
        <v>0</v>
      </c>
      <c r="F90" s="555">
        <v>0</v>
      </c>
    </row>
    <row r="91" spans="1:6" x14ac:dyDescent="0.25">
      <c r="A91" s="669" t="s">
        <v>137</v>
      </c>
      <c r="B91" s="664" t="s">
        <v>138</v>
      </c>
      <c r="C91" s="655">
        <v>109</v>
      </c>
      <c r="D91" s="556">
        <v>1</v>
      </c>
      <c r="E91" s="557">
        <v>0</v>
      </c>
      <c r="F91" s="558">
        <v>15509380</v>
      </c>
    </row>
    <row r="92" spans="1:6" x14ac:dyDescent="0.25">
      <c r="A92" s="669" t="s">
        <v>139</v>
      </c>
      <c r="B92" s="664" t="s">
        <v>140</v>
      </c>
      <c r="C92" s="655">
        <v>26</v>
      </c>
      <c r="D92" s="556">
        <v>4</v>
      </c>
      <c r="E92" s="557">
        <v>0</v>
      </c>
      <c r="F92" s="558">
        <v>2824670</v>
      </c>
    </row>
    <row r="93" spans="1:6" x14ac:dyDescent="0.25">
      <c r="A93" s="669" t="s">
        <v>141</v>
      </c>
      <c r="B93" s="664" t="s">
        <v>142</v>
      </c>
      <c r="C93" s="655">
        <v>4</v>
      </c>
      <c r="D93" s="556">
        <v>0</v>
      </c>
      <c r="E93" s="557">
        <v>0</v>
      </c>
      <c r="F93" s="558">
        <v>759550</v>
      </c>
    </row>
    <row r="94" spans="1:6" x14ac:dyDescent="0.25">
      <c r="A94" s="669" t="s">
        <v>143</v>
      </c>
      <c r="B94" s="664" t="s">
        <v>144</v>
      </c>
      <c r="C94" s="655">
        <v>60</v>
      </c>
      <c r="D94" s="556">
        <v>1</v>
      </c>
      <c r="E94" s="557">
        <v>0</v>
      </c>
      <c r="F94" s="558">
        <v>3392155</v>
      </c>
    </row>
    <row r="95" spans="1:6" x14ac:dyDescent="0.25">
      <c r="A95" s="669" t="s">
        <v>145</v>
      </c>
      <c r="B95" s="664" t="s">
        <v>146</v>
      </c>
      <c r="C95" s="655">
        <v>87</v>
      </c>
      <c r="D95" s="556">
        <v>2</v>
      </c>
      <c r="E95" s="557">
        <v>0</v>
      </c>
      <c r="F95" s="558">
        <v>2194750</v>
      </c>
    </row>
    <row r="96" spans="1:6" x14ac:dyDescent="0.25">
      <c r="A96" s="669" t="s">
        <v>147</v>
      </c>
      <c r="B96" s="664" t="s">
        <v>148</v>
      </c>
      <c r="C96" s="655">
        <v>0</v>
      </c>
      <c r="D96" s="556">
        <v>0</v>
      </c>
      <c r="E96" s="557">
        <v>0</v>
      </c>
      <c r="F96" s="558">
        <v>0</v>
      </c>
    </row>
    <row r="97" spans="1:6" x14ac:dyDescent="0.25">
      <c r="A97" s="669" t="s">
        <v>149</v>
      </c>
      <c r="B97" s="664" t="s">
        <v>150</v>
      </c>
      <c r="C97" s="655">
        <v>1</v>
      </c>
      <c r="D97" s="556">
        <v>0</v>
      </c>
      <c r="E97" s="557">
        <v>0</v>
      </c>
      <c r="F97" s="558">
        <v>54190</v>
      </c>
    </row>
    <row r="98" spans="1:6" x14ac:dyDescent="0.25">
      <c r="A98" s="669" t="s">
        <v>151</v>
      </c>
      <c r="B98" s="664" t="s">
        <v>152</v>
      </c>
      <c r="C98" s="655">
        <v>149</v>
      </c>
      <c r="D98" s="556">
        <v>16</v>
      </c>
      <c r="E98" s="557">
        <v>3</v>
      </c>
      <c r="F98" s="558">
        <v>38226185</v>
      </c>
    </row>
    <row r="99" spans="1:6" x14ac:dyDescent="0.25">
      <c r="A99" s="669" t="s">
        <v>153</v>
      </c>
      <c r="B99" s="664" t="s">
        <v>154</v>
      </c>
      <c r="C99" s="655">
        <v>6</v>
      </c>
      <c r="D99" s="556">
        <v>1</v>
      </c>
      <c r="E99" s="557">
        <v>0</v>
      </c>
      <c r="F99" s="558">
        <v>780590</v>
      </c>
    </row>
    <row r="100" spans="1:6" x14ac:dyDescent="0.25">
      <c r="A100" s="669" t="s">
        <v>155</v>
      </c>
      <c r="B100" s="664" t="s">
        <v>156</v>
      </c>
      <c r="C100" s="655">
        <v>44</v>
      </c>
      <c r="D100" s="556">
        <v>0</v>
      </c>
      <c r="E100" s="557">
        <v>0</v>
      </c>
      <c r="F100" s="558">
        <v>9119560</v>
      </c>
    </row>
    <row r="101" spans="1:6" x14ac:dyDescent="0.25">
      <c r="A101" s="669" t="s">
        <v>157</v>
      </c>
      <c r="B101" s="664" t="s">
        <v>158</v>
      </c>
      <c r="C101" s="655">
        <v>8</v>
      </c>
      <c r="D101" s="556">
        <v>0</v>
      </c>
      <c r="E101" s="557">
        <v>0</v>
      </c>
      <c r="F101" s="558">
        <v>1947830</v>
      </c>
    </row>
    <row r="102" spans="1:6" x14ac:dyDescent="0.25">
      <c r="A102" s="699" t="s">
        <v>159</v>
      </c>
      <c r="B102" s="684" t="s">
        <v>160</v>
      </c>
      <c r="C102" s="656">
        <v>32</v>
      </c>
      <c r="D102" s="559">
        <v>1</v>
      </c>
      <c r="E102" s="560">
        <v>0</v>
      </c>
      <c r="F102" s="561">
        <v>5862215</v>
      </c>
    </row>
    <row r="103" spans="1:6" x14ac:dyDescent="0.25">
      <c r="A103" s="668" t="s">
        <v>161</v>
      </c>
      <c r="B103" s="663" t="s">
        <v>162</v>
      </c>
      <c r="C103" s="654">
        <v>66</v>
      </c>
      <c r="D103" s="553">
        <v>0</v>
      </c>
      <c r="E103" s="554">
        <v>0</v>
      </c>
      <c r="F103" s="555">
        <v>8004440</v>
      </c>
    </row>
    <row r="104" spans="1:6" x14ac:dyDescent="0.25">
      <c r="A104" s="669"/>
      <c r="B104" s="664" t="s">
        <v>163</v>
      </c>
      <c r="C104" s="655">
        <v>0</v>
      </c>
      <c r="D104" s="556">
        <v>0</v>
      </c>
      <c r="E104" s="557">
        <v>0</v>
      </c>
      <c r="F104" s="558">
        <v>0</v>
      </c>
    </row>
    <row r="105" spans="1:6" x14ac:dyDescent="0.25">
      <c r="A105" s="669"/>
      <c r="B105" s="664" t="s">
        <v>164</v>
      </c>
      <c r="C105" s="655">
        <v>42</v>
      </c>
      <c r="D105" s="556">
        <v>0</v>
      </c>
      <c r="E105" s="557">
        <v>0</v>
      </c>
      <c r="F105" s="558">
        <v>5578440</v>
      </c>
    </row>
    <row r="106" spans="1:6" x14ac:dyDescent="0.25">
      <c r="A106" s="670"/>
      <c r="B106" s="678" t="s">
        <v>165</v>
      </c>
      <c r="C106" s="657">
        <v>24</v>
      </c>
      <c r="D106" s="563">
        <v>0</v>
      </c>
      <c r="E106" s="564">
        <v>0</v>
      </c>
      <c r="F106" s="565">
        <v>2426000</v>
      </c>
    </row>
    <row r="107" spans="1:6" x14ac:dyDescent="0.25">
      <c r="A107" s="704" t="s">
        <v>166</v>
      </c>
      <c r="B107" s="703" t="s">
        <v>167</v>
      </c>
      <c r="C107" s="658">
        <v>64</v>
      </c>
      <c r="D107" s="566">
        <v>2</v>
      </c>
      <c r="E107" s="567">
        <v>1</v>
      </c>
      <c r="F107" s="568">
        <v>12351917.5</v>
      </c>
    </row>
    <row r="108" spans="1:6" x14ac:dyDescent="0.25">
      <c r="A108" s="700">
        <v>2106</v>
      </c>
      <c r="B108" s="678" t="s">
        <v>168</v>
      </c>
      <c r="C108" s="657">
        <v>6</v>
      </c>
      <c r="D108" s="563">
        <v>0</v>
      </c>
      <c r="E108" s="564">
        <v>0</v>
      </c>
      <c r="F108" s="565">
        <v>444020</v>
      </c>
    </row>
    <row r="109" spans="1:6" x14ac:dyDescent="0.25">
      <c r="A109" s="676"/>
      <c r="B109" s="675" t="s">
        <v>169</v>
      </c>
      <c r="C109" s="659">
        <v>662</v>
      </c>
      <c r="D109" s="570">
        <v>28</v>
      </c>
      <c r="E109" s="571">
        <v>4</v>
      </c>
      <c r="F109" s="572">
        <v>101471452.5</v>
      </c>
    </row>
    <row r="110" spans="1:6" x14ac:dyDescent="0.25">
      <c r="A110" s="497"/>
      <c r="B110" s="497"/>
      <c r="C110" s="497"/>
      <c r="D110" s="497"/>
      <c r="E110" s="497"/>
      <c r="F110" s="494"/>
    </row>
    <row r="111" spans="1:6" x14ac:dyDescent="0.25">
      <c r="A111" s="497"/>
      <c r="B111" s="497"/>
      <c r="C111" s="497"/>
      <c r="D111" s="497"/>
      <c r="E111" s="497"/>
      <c r="F111" s="494"/>
    </row>
    <row r="112" spans="1:6" x14ac:dyDescent="0.25">
      <c r="A112" s="753" t="s">
        <v>170</v>
      </c>
      <c r="B112" s="754"/>
      <c r="C112" s="754"/>
      <c r="D112" s="754"/>
      <c r="E112" s="755"/>
      <c r="F112" s="494"/>
    </row>
    <row r="113" spans="1:6" ht="51" x14ac:dyDescent="0.25">
      <c r="A113" s="499" t="s">
        <v>8</v>
      </c>
      <c r="B113" s="499" t="s">
        <v>9</v>
      </c>
      <c r="C113" s="500" t="s">
        <v>10</v>
      </c>
      <c r="D113" s="545" t="s">
        <v>11</v>
      </c>
      <c r="E113" s="501" t="s">
        <v>12</v>
      </c>
      <c r="F113" s="494"/>
    </row>
    <row r="114" spans="1:6" x14ac:dyDescent="0.25">
      <c r="A114" s="668" t="s">
        <v>171</v>
      </c>
      <c r="B114" s="663" t="s">
        <v>172</v>
      </c>
      <c r="C114" s="617">
        <v>78</v>
      </c>
      <c r="D114" s="573">
        <v>132810</v>
      </c>
      <c r="E114" s="574">
        <v>10359180</v>
      </c>
      <c r="F114" s="497"/>
    </row>
    <row r="115" spans="1:6" x14ac:dyDescent="0.25">
      <c r="A115" s="670" t="s">
        <v>173</v>
      </c>
      <c r="B115" s="697" t="s">
        <v>174</v>
      </c>
      <c r="C115" s="644">
        <v>6</v>
      </c>
      <c r="D115" s="575">
        <v>139740</v>
      </c>
      <c r="E115" s="550">
        <v>838440</v>
      </c>
      <c r="F115" s="497"/>
    </row>
    <row r="116" spans="1:6" x14ac:dyDescent="0.25">
      <c r="A116" s="551"/>
      <c r="B116" s="627" t="s">
        <v>175</v>
      </c>
      <c r="C116" s="551">
        <v>84</v>
      </c>
      <c r="D116" s="523"/>
      <c r="E116" s="552">
        <v>11197620</v>
      </c>
      <c r="F116" s="497"/>
    </row>
    <row r="117" spans="1:6" x14ac:dyDescent="0.25">
      <c r="A117" s="497"/>
      <c r="B117" s="497"/>
      <c r="C117" s="497"/>
      <c r="D117" s="497"/>
      <c r="E117" s="497"/>
      <c r="F117" s="497"/>
    </row>
    <row r="118" spans="1:6" x14ac:dyDescent="0.25">
      <c r="A118" s="497"/>
      <c r="B118" s="497"/>
      <c r="C118" s="497"/>
      <c r="D118" s="497"/>
      <c r="E118" s="497"/>
      <c r="F118" s="494"/>
    </row>
    <row r="119" spans="1:6" x14ac:dyDescent="0.25">
      <c r="A119" s="764" t="s">
        <v>176</v>
      </c>
      <c r="B119" s="764"/>
      <c r="C119" s="764"/>
      <c r="D119" s="497"/>
      <c r="E119" s="497"/>
      <c r="F119" s="494"/>
    </row>
    <row r="120" spans="1:6" ht="38.25" x14ac:dyDescent="0.25">
      <c r="A120" s="499" t="s">
        <v>8</v>
      </c>
      <c r="B120" s="499" t="s">
        <v>10</v>
      </c>
      <c r="C120" s="499" t="s">
        <v>12</v>
      </c>
      <c r="D120" s="497"/>
      <c r="E120" s="497"/>
      <c r="F120" s="497"/>
    </row>
    <row r="121" spans="1:6" x14ac:dyDescent="0.25">
      <c r="A121" s="576" t="s">
        <v>177</v>
      </c>
      <c r="B121" s="577" t="s">
        <v>178</v>
      </c>
      <c r="C121" s="578">
        <v>14248120</v>
      </c>
      <c r="D121" s="497"/>
      <c r="E121" s="497"/>
      <c r="F121" s="497"/>
    </row>
    <row r="122" spans="1:6" x14ac:dyDescent="0.25">
      <c r="A122" s="497"/>
      <c r="B122" s="497"/>
      <c r="C122" s="497"/>
      <c r="D122" s="497"/>
      <c r="E122" s="494"/>
      <c r="F122" s="497"/>
    </row>
    <row r="123" spans="1:6" x14ac:dyDescent="0.25">
      <c r="A123" s="497"/>
      <c r="B123" s="497"/>
      <c r="C123" s="497"/>
      <c r="D123" s="497"/>
      <c r="E123" s="494"/>
      <c r="F123" s="497"/>
    </row>
    <row r="124" spans="1:6" x14ac:dyDescent="0.25">
      <c r="A124" s="753" t="s">
        <v>179</v>
      </c>
      <c r="B124" s="754"/>
      <c r="C124" s="754"/>
      <c r="D124" s="754"/>
      <c r="E124" s="755"/>
      <c r="F124" s="494"/>
    </row>
    <row r="125" spans="1:6" ht="51" x14ac:dyDescent="0.25">
      <c r="A125" s="499" t="s">
        <v>8</v>
      </c>
      <c r="B125" s="499" t="s">
        <v>9</v>
      </c>
      <c r="C125" s="500" t="s">
        <v>10</v>
      </c>
      <c r="D125" s="545" t="s">
        <v>11</v>
      </c>
      <c r="E125" s="501" t="s">
        <v>12</v>
      </c>
      <c r="F125" s="494"/>
    </row>
    <row r="126" spans="1:6" x14ac:dyDescent="0.25">
      <c r="A126" s="668" t="s">
        <v>180</v>
      </c>
      <c r="B126" s="685" t="s">
        <v>181</v>
      </c>
      <c r="C126" s="617">
        <v>5603</v>
      </c>
      <c r="D126" s="510">
        <v>34010</v>
      </c>
      <c r="E126" s="579">
        <v>190558030</v>
      </c>
      <c r="F126" s="497"/>
    </row>
    <row r="127" spans="1:6" x14ac:dyDescent="0.25">
      <c r="A127" s="669" t="s">
        <v>182</v>
      </c>
      <c r="B127" s="665" t="s">
        <v>183</v>
      </c>
      <c r="C127" s="614">
        <v>0</v>
      </c>
      <c r="D127" s="505">
        <v>31310</v>
      </c>
      <c r="E127" s="580">
        <v>0</v>
      </c>
      <c r="F127" s="497"/>
    </row>
    <row r="128" spans="1:6" x14ac:dyDescent="0.25">
      <c r="A128" s="669" t="s">
        <v>184</v>
      </c>
      <c r="B128" s="665" t="s">
        <v>185</v>
      </c>
      <c r="C128" s="614">
        <v>0</v>
      </c>
      <c r="D128" s="505">
        <v>26100</v>
      </c>
      <c r="E128" s="580">
        <v>0</v>
      </c>
      <c r="F128" s="497"/>
    </row>
    <row r="129" spans="1:6" x14ac:dyDescent="0.25">
      <c r="A129" s="669" t="s">
        <v>186</v>
      </c>
      <c r="B129" s="665" t="s">
        <v>187</v>
      </c>
      <c r="C129" s="614">
        <v>196</v>
      </c>
      <c r="D129" s="505">
        <v>141410</v>
      </c>
      <c r="E129" s="580">
        <v>27716360</v>
      </c>
      <c r="F129" s="497"/>
    </row>
    <row r="130" spans="1:6" x14ac:dyDescent="0.25">
      <c r="A130" s="669" t="s">
        <v>188</v>
      </c>
      <c r="B130" s="665" t="s">
        <v>189</v>
      </c>
      <c r="C130" s="614">
        <v>308</v>
      </c>
      <c r="D130" s="505">
        <v>68290</v>
      </c>
      <c r="E130" s="580">
        <v>21033320</v>
      </c>
      <c r="F130" s="497"/>
    </row>
    <row r="131" spans="1:6" x14ac:dyDescent="0.25">
      <c r="A131" s="669" t="s">
        <v>190</v>
      </c>
      <c r="B131" s="665" t="s">
        <v>191</v>
      </c>
      <c r="C131" s="614">
        <v>174</v>
      </c>
      <c r="D131" s="505">
        <v>61270</v>
      </c>
      <c r="E131" s="580">
        <v>10660980</v>
      </c>
      <c r="F131" s="497"/>
    </row>
    <row r="132" spans="1:6" x14ac:dyDescent="0.25">
      <c r="A132" s="669" t="s">
        <v>192</v>
      </c>
      <c r="B132" s="665" t="s">
        <v>193</v>
      </c>
      <c r="C132" s="614">
        <v>0</v>
      </c>
      <c r="D132" s="505">
        <v>17390</v>
      </c>
      <c r="E132" s="580">
        <v>0</v>
      </c>
      <c r="F132" s="497"/>
    </row>
    <row r="133" spans="1:6" x14ac:dyDescent="0.25">
      <c r="A133" s="669" t="s">
        <v>194</v>
      </c>
      <c r="B133" s="665" t="s">
        <v>195</v>
      </c>
      <c r="C133" s="614">
        <v>0</v>
      </c>
      <c r="D133" s="505">
        <v>27240</v>
      </c>
      <c r="E133" s="580">
        <v>0</v>
      </c>
      <c r="F133" s="497"/>
    </row>
    <row r="134" spans="1:6" x14ac:dyDescent="0.25">
      <c r="A134" s="669" t="s">
        <v>196</v>
      </c>
      <c r="B134" s="665" t="s">
        <v>197</v>
      </c>
      <c r="C134" s="614">
        <v>0</v>
      </c>
      <c r="D134" s="505">
        <v>27470</v>
      </c>
      <c r="E134" s="580">
        <v>0</v>
      </c>
      <c r="F134" s="497"/>
    </row>
    <row r="135" spans="1:6" x14ac:dyDescent="0.25">
      <c r="A135" s="669" t="s">
        <v>198</v>
      </c>
      <c r="B135" s="665" t="s">
        <v>199</v>
      </c>
      <c r="C135" s="614">
        <v>0</v>
      </c>
      <c r="D135" s="505">
        <v>28360</v>
      </c>
      <c r="E135" s="580">
        <v>0</v>
      </c>
      <c r="F135" s="497"/>
    </row>
    <row r="136" spans="1:6" x14ac:dyDescent="0.25">
      <c r="A136" s="669" t="s">
        <v>200</v>
      </c>
      <c r="B136" s="665" t="s">
        <v>201</v>
      </c>
      <c r="C136" s="614">
        <v>0</v>
      </c>
      <c r="D136" s="505">
        <v>34010</v>
      </c>
      <c r="E136" s="580">
        <v>0</v>
      </c>
      <c r="F136" s="497"/>
    </row>
    <row r="137" spans="1:6" x14ac:dyDescent="0.25">
      <c r="A137" s="669" t="s">
        <v>202</v>
      </c>
      <c r="B137" s="664" t="s">
        <v>203</v>
      </c>
      <c r="C137" s="614">
        <v>33</v>
      </c>
      <c r="D137" s="505">
        <v>6600</v>
      </c>
      <c r="E137" s="580">
        <v>217800</v>
      </c>
      <c r="F137" s="497"/>
    </row>
    <row r="138" spans="1:6" x14ac:dyDescent="0.25">
      <c r="A138" s="669" t="s">
        <v>204</v>
      </c>
      <c r="B138" s="664" t="s">
        <v>205</v>
      </c>
      <c r="C138" s="614">
        <v>0</v>
      </c>
      <c r="D138" s="505">
        <v>47670</v>
      </c>
      <c r="E138" s="580">
        <v>0</v>
      </c>
      <c r="F138" s="497"/>
    </row>
    <row r="139" spans="1:6" x14ac:dyDescent="0.25">
      <c r="A139" s="670"/>
      <c r="B139" s="701" t="s">
        <v>206</v>
      </c>
      <c r="C139" s="653">
        <v>6314</v>
      </c>
      <c r="D139" s="581"/>
      <c r="E139" s="582">
        <v>250186490</v>
      </c>
      <c r="F139" s="497"/>
    </row>
    <row r="140" spans="1:6" x14ac:dyDescent="0.25">
      <c r="A140" s="668"/>
      <c r="B140" s="702" t="s">
        <v>207</v>
      </c>
      <c r="C140" s="617"/>
      <c r="D140" s="510"/>
      <c r="E140" s="579"/>
      <c r="F140" s="497"/>
    </row>
    <row r="141" spans="1:6" x14ac:dyDescent="0.25">
      <c r="A141" s="669" t="s">
        <v>208</v>
      </c>
      <c r="B141" s="665" t="s">
        <v>209</v>
      </c>
      <c r="C141" s="614">
        <v>0</v>
      </c>
      <c r="D141" s="505">
        <v>11430</v>
      </c>
      <c r="E141" s="580">
        <v>0</v>
      </c>
      <c r="F141" s="497"/>
    </row>
    <row r="142" spans="1:6" x14ac:dyDescent="0.25">
      <c r="A142" s="669" t="s">
        <v>210</v>
      </c>
      <c r="B142" s="665" t="s">
        <v>211</v>
      </c>
      <c r="C142" s="614">
        <v>0</v>
      </c>
      <c r="D142" s="505">
        <v>11430</v>
      </c>
      <c r="E142" s="580">
        <v>0</v>
      </c>
      <c r="F142" s="497"/>
    </row>
    <row r="143" spans="1:6" x14ac:dyDescent="0.25">
      <c r="A143" s="669" t="s">
        <v>212</v>
      </c>
      <c r="B143" s="665" t="s">
        <v>213</v>
      </c>
      <c r="C143" s="614">
        <v>6</v>
      </c>
      <c r="D143" s="505">
        <v>5040</v>
      </c>
      <c r="E143" s="580">
        <v>30240</v>
      </c>
      <c r="F143" s="497"/>
    </row>
    <row r="144" spans="1:6" x14ac:dyDescent="0.25">
      <c r="A144" s="669" t="s">
        <v>214</v>
      </c>
      <c r="B144" s="665" t="s">
        <v>215</v>
      </c>
      <c r="C144" s="614">
        <v>0</v>
      </c>
      <c r="D144" s="505">
        <v>91950</v>
      </c>
      <c r="E144" s="580">
        <v>0</v>
      </c>
      <c r="F144" s="497"/>
    </row>
    <row r="145" spans="1:6" x14ac:dyDescent="0.25">
      <c r="A145" s="669" t="s">
        <v>216</v>
      </c>
      <c r="B145" s="665" t="s">
        <v>217</v>
      </c>
      <c r="C145" s="614">
        <v>0</v>
      </c>
      <c r="D145" s="505">
        <v>10860</v>
      </c>
      <c r="E145" s="580">
        <v>0</v>
      </c>
      <c r="F145" s="497"/>
    </row>
    <row r="146" spans="1:6" x14ac:dyDescent="0.25">
      <c r="A146" s="669" t="s">
        <v>218</v>
      </c>
      <c r="B146" s="665" t="s">
        <v>219</v>
      </c>
      <c r="C146" s="614">
        <v>0</v>
      </c>
      <c r="D146" s="505">
        <v>8360</v>
      </c>
      <c r="E146" s="580">
        <v>0</v>
      </c>
      <c r="F146" s="497"/>
    </row>
    <row r="147" spans="1:6" x14ac:dyDescent="0.25">
      <c r="A147" s="670"/>
      <c r="B147" s="701" t="s">
        <v>220</v>
      </c>
      <c r="C147" s="653">
        <v>6</v>
      </c>
      <c r="D147" s="581"/>
      <c r="E147" s="582">
        <v>30240</v>
      </c>
      <c r="F147" s="497"/>
    </row>
    <row r="148" spans="1:6" x14ac:dyDescent="0.25">
      <c r="A148" s="676"/>
      <c r="B148" s="675" t="s">
        <v>221</v>
      </c>
      <c r="C148" s="514">
        <v>6320</v>
      </c>
      <c r="D148" s="583"/>
      <c r="E148" s="584">
        <v>250216730</v>
      </c>
      <c r="F148" s="497"/>
    </row>
    <row r="149" spans="1:6" x14ac:dyDescent="0.25">
      <c r="A149" s="497"/>
      <c r="B149" s="497"/>
      <c r="C149" s="497"/>
      <c r="D149" s="497"/>
      <c r="E149" s="497"/>
      <c r="F149" s="497"/>
    </row>
    <row r="150" spans="1:6" x14ac:dyDescent="0.25">
      <c r="A150" s="497"/>
      <c r="B150" s="497"/>
      <c r="C150" s="497"/>
      <c r="D150" s="497"/>
      <c r="E150" s="497"/>
      <c r="F150" s="494"/>
    </row>
    <row r="151" spans="1:6" x14ac:dyDescent="0.25">
      <c r="A151" s="745" t="s">
        <v>222</v>
      </c>
      <c r="B151" s="746"/>
      <c r="C151" s="746"/>
      <c r="D151" s="746"/>
      <c r="E151" s="747"/>
      <c r="F151" s="494"/>
    </row>
    <row r="152" spans="1:6" ht="51" x14ac:dyDescent="0.25">
      <c r="A152" s="499" t="s">
        <v>8</v>
      </c>
      <c r="B152" s="499" t="s">
        <v>9</v>
      </c>
      <c r="C152" s="500" t="s">
        <v>10</v>
      </c>
      <c r="D152" s="545" t="s">
        <v>11</v>
      </c>
      <c r="E152" s="501" t="s">
        <v>12</v>
      </c>
      <c r="F152" s="497"/>
    </row>
    <row r="153" spans="1:6" x14ac:dyDescent="0.25">
      <c r="A153" s="668" t="s">
        <v>223</v>
      </c>
      <c r="B153" s="685" t="s">
        <v>224</v>
      </c>
      <c r="C153" s="617">
        <v>246</v>
      </c>
      <c r="D153" s="510">
        <v>780</v>
      </c>
      <c r="E153" s="579">
        <v>191880</v>
      </c>
      <c r="F153" s="497"/>
    </row>
    <row r="154" spans="1:6" x14ac:dyDescent="0.25">
      <c r="A154" s="670" t="s">
        <v>225</v>
      </c>
      <c r="B154" s="666" t="s">
        <v>226</v>
      </c>
      <c r="C154" s="629">
        <v>0</v>
      </c>
      <c r="D154" s="512">
        <v>100</v>
      </c>
      <c r="E154" s="585">
        <v>0</v>
      </c>
      <c r="F154" s="497"/>
    </row>
    <row r="155" spans="1:6" x14ac:dyDescent="0.25">
      <c r="A155" s="676"/>
      <c r="B155" s="675" t="s">
        <v>227</v>
      </c>
      <c r="C155" s="514">
        <v>246</v>
      </c>
      <c r="D155" s="583"/>
      <c r="E155" s="584">
        <v>191880</v>
      </c>
      <c r="F155" s="497"/>
    </row>
    <row r="156" spans="1:6" x14ac:dyDescent="0.25">
      <c r="A156" s="497"/>
      <c r="B156" s="497"/>
      <c r="C156" s="497"/>
      <c r="D156" s="497"/>
      <c r="E156" s="497"/>
      <c r="F156" s="497"/>
    </row>
    <row r="157" spans="1:6" x14ac:dyDescent="0.25">
      <c r="A157" s="497"/>
      <c r="B157" s="497"/>
      <c r="C157" s="497"/>
      <c r="D157" s="497"/>
      <c r="E157" s="497"/>
      <c r="F157" s="497"/>
    </row>
    <row r="158" spans="1:6" x14ac:dyDescent="0.25">
      <c r="A158" s="745" t="s">
        <v>228</v>
      </c>
      <c r="B158" s="746"/>
      <c r="C158" s="746"/>
      <c r="D158" s="746"/>
      <c r="E158" s="747"/>
      <c r="F158" s="494"/>
    </row>
    <row r="159" spans="1:6" ht="51" x14ac:dyDescent="0.25">
      <c r="A159" s="499" t="s">
        <v>8</v>
      </c>
      <c r="B159" s="499" t="s">
        <v>9</v>
      </c>
      <c r="C159" s="500" t="s">
        <v>10</v>
      </c>
      <c r="D159" s="545" t="s">
        <v>11</v>
      </c>
      <c r="E159" s="501" t="s">
        <v>12</v>
      </c>
      <c r="F159" s="497"/>
    </row>
    <row r="160" spans="1:6" x14ac:dyDescent="0.25">
      <c r="A160" s="668" t="s">
        <v>229</v>
      </c>
      <c r="B160" s="663" t="s">
        <v>230</v>
      </c>
      <c r="C160" s="648">
        <v>0</v>
      </c>
      <c r="D160" s="510">
        <v>42830</v>
      </c>
      <c r="E160" s="579">
        <v>0</v>
      </c>
      <c r="F160" s="497"/>
    </row>
    <row r="161" spans="1:6" x14ac:dyDescent="0.25">
      <c r="A161" s="669" t="s">
        <v>231</v>
      </c>
      <c r="B161" s="665" t="s">
        <v>232</v>
      </c>
      <c r="C161" s="652">
        <v>0</v>
      </c>
      <c r="D161" s="505">
        <v>26930</v>
      </c>
      <c r="E161" s="580">
        <v>0</v>
      </c>
      <c r="F161" s="497"/>
    </row>
    <row r="162" spans="1:6" x14ac:dyDescent="0.25">
      <c r="A162" s="669" t="s">
        <v>233</v>
      </c>
      <c r="B162" s="664" t="s">
        <v>234</v>
      </c>
      <c r="C162" s="652">
        <v>0</v>
      </c>
      <c r="D162" s="505">
        <v>27740</v>
      </c>
      <c r="E162" s="580">
        <v>0</v>
      </c>
      <c r="F162" s="497"/>
    </row>
    <row r="163" spans="1:6" x14ac:dyDescent="0.25">
      <c r="A163" s="669" t="s">
        <v>235</v>
      </c>
      <c r="B163" s="665" t="s">
        <v>236</v>
      </c>
      <c r="C163" s="652">
        <v>0</v>
      </c>
      <c r="D163" s="505">
        <v>832280</v>
      </c>
      <c r="E163" s="580">
        <v>0</v>
      </c>
      <c r="F163" s="497"/>
    </row>
    <row r="164" spans="1:6" x14ac:dyDescent="0.25">
      <c r="A164" s="669" t="s">
        <v>237</v>
      </c>
      <c r="B164" s="665" t="s">
        <v>238</v>
      </c>
      <c r="C164" s="652">
        <v>0</v>
      </c>
      <c r="D164" s="505">
        <v>378030</v>
      </c>
      <c r="E164" s="580">
        <v>0</v>
      </c>
      <c r="F164" s="497"/>
    </row>
    <row r="165" spans="1:6" x14ac:dyDescent="0.25">
      <c r="A165" s="669" t="s">
        <v>239</v>
      </c>
      <c r="B165" s="665" t="s">
        <v>240</v>
      </c>
      <c r="C165" s="652">
        <v>0</v>
      </c>
      <c r="D165" s="505">
        <v>578050</v>
      </c>
      <c r="E165" s="580">
        <v>0</v>
      </c>
      <c r="F165" s="497"/>
    </row>
    <row r="166" spans="1:6" x14ac:dyDescent="0.25">
      <c r="A166" s="699" t="s">
        <v>241</v>
      </c>
      <c r="B166" s="697" t="s">
        <v>242</v>
      </c>
      <c r="C166" s="652">
        <v>0</v>
      </c>
      <c r="D166" s="505">
        <v>52120</v>
      </c>
      <c r="E166" s="580">
        <v>0</v>
      </c>
      <c r="F166" s="497"/>
    </row>
    <row r="167" spans="1:6" x14ac:dyDescent="0.25">
      <c r="A167" s="700">
        <v>1901029</v>
      </c>
      <c r="B167" s="698" t="s">
        <v>243</v>
      </c>
      <c r="C167" s="649">
        <v>0</v>
      </c>
      <c r="D167" s="512">
        <v>677560</v>
      </c>
      <c r="E167" s="585">
        <v>0</v>
      </c>
      <c r="F167" s="497"/>
    </row>
    <row r="168" spans="1:6" x14ac:dyDescent="0.25">
      <c r="A168" s="569"/>
      <c r="B168" s="586" t="s">
        <v>244</v>
      </c>
      <c r="C168" s="587">
        <v>0</v>
      </c>
      <c r="D168" s="588"/>
      <c r="E168" s="589">
        <v>0</v>
      </c>
      <c r="F168" s="497"/>
    </row>
    <row r="169" spans="1:6" x14ac:dyDescent="0.25">
      <c r="A169" s="497"/>
      <c r="B169" s="497"/>
      <c r="C169" s="497"/>
      <c r="D169" s="497"/>
      <c r="E169" s="497"/>
      <c r="F169" s="497"/>
    </row>
    <row r="170" spans="1:6" x14ac:dyDescent="0.25">
      <c r="A170" s="497"/>
      <c r="B170" s="497"/>
      <c r="C170" s="497"/>
      <c r="D170" s="497"/>
      <c r="E170" s="497"/>
      <c r="F170" s="497"/>
    </row>
    <row r="171" spans="1:6" x14ac:dyDescent="0.25">
      <c r="A171" s="753" t="s">
        <v>245</v>
      </c>
      <c r="B171" s="754"/>
      <c r="C171" s="754"/>
      <c r="D171" s="754"/>
      <c r="E171" s="755"/>
      <c r="F171" s="494"/>
    </row>
    <row r="172" spans="1:6" ht="51" x14ac:dyDescent="0.25">
      <c r="A172" s="499" t="s">
        <v>8</v>
      </c>
      <c r="B172" s="499" t="s">
        <v>9</v>
      </c>
      <c r="C172" s="500" t="s">
        <v>10</v>
      </c>
      <c r="D172" s="545" t="s">
        <v>11</v>
      </c>
      <c r="E172" s="501" t="s">
        <v>12</v>
      </c>
      <c r="F172" s="497"/>
    </row>
    <row r="173" spans="1:6" x14ac:dyDescent="0.25">
      <c r="A173" s="696">
        <v>1101004</v>
      </c>
      <c r="B173" s="692" t="s">
        <v>246</v>
      </c>
      <c r="C173" s="617">
        <v>16</v>
      </c>
      <c r="D173" s="510">
        <v>14690</v>
      </c>
      <c r="E173" s="579">
        <v>235040</v>
      </c>
      <c r="F173" s="497"/>
    </row>
    <row r="174" spans="1:6" x14ac:dyDescent="0.25">
      <c r="A174" s="691">
        <v>1101006</v>
      </c>
      <c r="B174" s="693" t="s">
        <v>247</v>
      </c>
      <c r="C174" s="614">
        <v>0</v>
      </c>
      <c r="D174" s="505">
        <v>11740</v>
      </c>
      <c r="E174" s="580">
        <v>0</v>
      </c>
      <c r="F174" s="497"/>
    </row>
    <row r="175" spans="1:6" x14ac:dyDescent="0.25">
      <c r="A175" s="691" t="s">
        <v>248</v>
      </c>
      <c r="B175" s="694" t="s">
        <v>249</v>
      </c>
      <c r="C175" s="614">
        <v>664</v>
      </c>
      <c r="D175" s="505">
        <v>5030</v>
      </c>
      <c r="E175" s="580">
        <v>3339920</v>
      </c>
      <c r="F175" s="497"/>
    </row>
    <row r="176" spans="1:6" ht="26.25" x14ac:dyDescent="0.25">
      <c r="A176" s="691" t="s">
        <v>250</v>
      </c>
      <c r="B176" s="694" t="s">
        <v>251</v>
      </c>
      <c r="C176" s="614">
        <v>34</v>
      </c>
      <c r="D176" s="505">
        <v>14180</v>
      </c>
      <c r="E176" s="580">
        <v>482120</v>
      </c>
      <c r="F176" s="497"/>
    </row>
    <row r="177" spans="1:6" ht="26.25" x14ac:dyDescent="0.25">
      <c r="A177" s="691" t="s">
        <v>252</v>
      </c>
      <c r="B177" s="694" t="s">
        <v>253</v>
      </c>
      <c r="C177" s="614">
        <v>41</v>
      </c>
      <c r="D177" s="505">
        <v>24050</v>
      </c>
      <c r="E177" s="580">
        <v>986050</v>
      </c>
      <c r="F177" s="497"/>
    </row>
    <row r="178" spans="1:6" x14ac:dyDescent="0.25">
      <c r="A178" s="691" t="s">
        <v>254</v>
      </c>
      <c r="B178" s="694" t="s">
        <v>255</v>
      </c>
      <c r="C178" s="614">
        <v>0</v>
      </c>
      <c r="D178" s="505">
        <v>45920</v>
      </c>
      <c r="E178" s="580">
        <v>0</v>
      </c>
      <c r="F178" s="497"/>
    </row>
    <row r="179" spans="1:6" x14ac:dyDescent="0.25">
      <c r="A179" s="691" t="s">
        <v>256</v>
      </c>
      <c r="B179" s="694" t="s">
        <v>257</v>
      </c>
      <c r="C179" s="614">
        <v>82</v>
      </c>
      <c r="D179" s="505">
        <v>51180</v>
      </c>
      <c r="E179" s="580">
        <v>4196760</v>
      </c>
      <c r="F179" s="497"/>
    </row>
    <row r="180" spans="1:6" ht="26.25" x14ac:dyDescent="0.25">
      <c r="A180" s="691" t="s">
        <v>258</v>
      </c>
      <c r="B180" s="694" t="s">
        <v>259</v>
      </c>
      <c r="C180" s="614">
        <v>0</v>
      </c>
      <c r="D180" s="505">
        <v>28710</v>
      </c>
      <c r="E180" s="580">
        <v>0</v>
      </c>
      <c r="F180" s="497"/>
    </row>
    <row r="181" spans="1:6" x14ac:dyDescent="0.25">
      <c r="A181" s="691" t="s">
        <v>260</v>
      </c>
      <c r="B181" s="695" t="s">
        <v>261</v>
      </c>
      <c r="C181" s="614">
        <v>0</v>
      </c>
      <c r="D181" s="505">
        <v>222100</v>
      </c>
      <c r="E181" s="580">
        <v>0</v>
      </c>
      <c r="F181" s="497"/>
    </row>
    <row r="182" spans="1:6" x14ac:dyDescent="0.25">
      <c r="A182" s="691" t="s">
        <v>262</v>
      </c>
      <c r="B182" s="694" t="s">
        <v>263</v>
      </c>
      <c r="C182" s="614">
        <v>0</v>
      </c>
      <c r="D182" s="505">
        <v>252490</v>
      </c>
      <c r="E182" s="580">
        <v>0</v>
      </c>
      <c r="F182" s="497"/>
    </row>
    <row r="183" spans="1:6" x14ac:dyDescent="0.25">
      <c r="A183" s="691" t="s">
        <v>264</v>
      </c>
      <c r="B183" s="694" t="s">
        <v>265</v>
      </c>
      <c r="C183" s="614">
        <v>0</v>
      </c>
      <c r="D183" s="505">
        <v>205900</v>
      </c>
      <c r="E183" s="580">
        <v>0</v>
      </c>
      <c r="F183" s="497"/>
    </row>
    <row r="184" spans="1:6" ht="26.25" x14ac:dyDescent="0.25">
      <c r="A184" s="691" t="s">
        <v>266</v>
      </c>
      <c r="B184" s="695" t="s">
        <v>267</v>
      </c>
      <c r="C184" s="614">
        <v>0</v>
      </c>
      <c r="D184" s="505">
        <v>264470</v>
      </c>
      <c r="E184" s="580">
        <v>0</v>
      </c>
      <c r="F184" s="497"/>
    </row>
    <row r="185" spans="1:6" ht="26.25" x14ac:dyDescent="0.25">
      <c r="A185" s="691" t="s">
        <v>268</v>
      </c>
      <c r="B185" s="695" t="s">
        <v>269</v>
      </c>
      <c r="C185" s="614">
        <v>0</v>
      </c>
      <c r="D185" s="505">
        <v>270610</v>
      </c>
      <c r="E185" s="580">
        <v>0</v>
      </c>
      <c r="F185" s="497"/>
    </row>
    <row r="186" spans="1:6" ht="26.25" x14ac:dyDescent="0.25">
      <c r="A186" s="691" t="s">
        <v>270</v>
      </c>
      <c r="B186" s="695" t="s">
        <v>271</v>
      </c>
      <c r="C186" s="614">
        <v>0</v>
      </c>
      <c r="D186" s="505">
        <v>228850</v>
      </c>
      <c r="E186" s="580">
        <v>0</v>
      </c>
      <c r="F186" s="497"/>
    </row>
    <row r="187" spans="1:6" x14ac:dyDescent="0.25">
      <c r="A187" s="691" t="s">
        <v>272</v>
      </c>
      <c r="B187" s="695" t="s">
        <v>273</v>
      </c>
      <c r="C187" s="614">
        <v>0</v>
      </c>
      <c r="D187" s="505">
        <v>244270</v>
      </c>
      <c r="E187" s="580">
        <v>0</v>
      </c>
      <c r="F187" s="497"/>
    </row>
    <row r="188" spans="1:6" x14ac:dyDescent="0.25">
      <c r="A188" s="691" t="s">
        <v>274</v>
      </c>
      <c r="B188" s="695" t="s">
        <v>275</v>
      </c>
      <c r="C188" s="614">
        <v>0</v>
      </c>
      <c r="D188" s="505">
        <v>292090</v>
      </c>
      <c r="E188" s="580">
        <v>0</v>
      </c>
      <c r="F188" s="497"/>
    </row>
    <row r="189" spans="1:6" ht="26.25" x14ac:dyDescent="0.25">
      <c r="A189" s="691" t="s">
        <v>276</v>
      </c>
      <c r="B189" s="694" t="s">
        <v>277</v>
      </c>
      <c r="C189" s="614">
        <v>0</v>
      </c>
      <c r="D189" s="505">
        <v>259010</v>
      </c>
      <c r="E189" s="580">
        <v>0</v>
      </c>
      <c r="F189" s="497"/>
    </row>
    <row r="190" spans="1:6" ht="26.25" x14ac:dyDescent="0.25">
      <c r="A190" s="691" t="s">
        <v>278</v>
      </c>
      <c r="B190" s="695" t="s">
        <v>279</v>
      </c>
      <c r="C190" s="614">
        <v>0</v>
      </c>
      <c r="D190" s="505">
        <v>1895520</v>
      </c>
      <c r="E190" s="580">
        <v>0</v>
      </c>
      <c r="F190" s="497"/>
    </row>
    <row r="191" spans="1:6" x14ac:dyDescent="0.25">
      <c r="A191" s="691" t="s">
        <v>280</v>
      </c>
      <c r="B191" s="695" t="s">
        <v>281</v>
      </c>
      <c r="C191" s="614">
        <v>0</v>
      </c>
      <c r="D191" s="505">
        <v>1183940</v>
      </c>
      <c r="E191" s="580">
        <v>0</v>
      </c>
      <c r="F191" s="497"/>
    </row>
    <row r="192" spans="1:6" x14ac:dyDescent="0.25">
      <c r="A192" s="669" t="s">
        <v>282</v>
      </c>
      <c r="B192" s="695" t="s">
        <v>283</v>
      </c>
      <c r="C192" s="614">
        <v>0</v>
      </c>
      <c r="D192" s="505">
        <v>1145920</v>
      </c>
      <c r="E192" s="580">
        <v>0</v>
      </c>
      <c r="F192" s="497"/>
    </row>
    <row r="193" spans="1:6" ht="26.25" x14ac:dyDescent="0.25">
      <c r="A193" s="691" t="s">
        <v>284</v>
      </c>
      <c r="B193" s="695" t="s">
        <v>285</v>
      </c>
      <c r="C193" s="614">
        <v>0</v>
      </c>
      <c r="D193" s="505">
        <v>1200500</v>
      </c>
      <c r="E193" s="580">
        <v>0</v>
      </c>
      <c r="F193" s="497"/>
    </row>
    <row r="194" spans="1:6" x14ac:dyDescent="0.25">
      <c r="A194" s="669" t="s">
        <v>286</v>
      </c>
      <c r="B194" s="695" t="s">
        <v>287</v>
      </c>
      <c r="C194" s="614">
        <v>0</v>
      </c>
      <c r="D194" s="505">
        <v>169880</v>
      </c>
      <c r="E194" s="580">
        <v>0</v>
      </c>
      <c r="F194" s="497"/>
    </row>
    <row r="195" spans="1:6" x14ac:dyDescent="0.25">
      <c r="A195" s="669" t="s">
        <v>288</v>
      </c>
      <c r="B195" s="695" t="s">
        <v>289</v>
      </c>
      <c r="C195" s="614">
        <v>0</v>
      </c>
      <c r="D195" s="505">
        <v>387660</v>
      </c>
      <c r="E195" s="580">
        <v>0</v>
      </c>
      <c r="F195" s="497"/>
    </row>
    <row r="196" spans="1:6" x14ac:dyDescent="0.25">
      <c r="A196" s="691" t="s">
        <v>290</v>
      </c>
      <c r="B196" s="695" t="s">
        <v>291</v>
      </c>
      <c r="C196" s="614">
        <v>0</v>
      </c>
      <c r="D196" s="505">
        <v>143720</v>
      </c>
      <c r="E196" s="580">
        <v>0</v>
      </c>
      <c r="F196" s="497"/>
    </row>
    <row r="197" spans="1:6" x14ac:dyDescent="0.25">
      <c r="A197" s="691" t="s">
        <v>292</v>
      </c>
      <c r="B197" s="695" t="s">
        <v>293</v>
      </c>
      <c r="C197" s="614">
        <v>0</v>
      </c>
      <c r="D197" s="505">
        <v>1164440</v>
      </c>
      <c r="E197" s="580">
        <v>0</v>
      </c>
      <c r="F197" s="497"/>
    </row>
    <row r="198" spans="1:6" x14ac:dyDescent="0.25">
      <c r="A198" s="691" t="s">
        <v>294</v>
      </c>
      <c r="B198" s="695" t="s">
        <v>295</v>
      </c>
      <c r="C198" s="614">
        <v>0</v>
      </c>
      <c r="D198" s="505">
        <v>1164440</v>
      </c>
      <c r="E198" s="580">
        <v>0</v>
      </c>
      <c r="F198" s="497"/>
    </row>
    <row r="199" spans="1:6" x14ac:dyDescent="0.25">
      <c r="A199" s="691">
        <v>1801001</v>
      </c>
      <c r="B199" s="693" t="s">
        <v>296</v>
      </c>
      <c r="C199" s="614">
        <v>65</v>
      </c>
      <c r="D199" s="505">
        <v>34730</v>
      </c>
      <c r="E199" s="580">
        <v>2257450</v>
      </c>
      <c r="F199" s="497"/>
    </row>
    <row r="200" spans="1:6" x14ac:dyDescent="0.25">
      <c r="A200" s="691">
        <v>1801003</v>
      </c>
      <c r="B200" s="695" t="s">
        <v>297</v>
      </c>
      <c r="C200" s="614">
        <v>0</v>
      </c>
      <c r="D200" s="505">
        <v>41890</v>
      </c>
      <c r="E200" s="580">
        <v>0</v>
      </c>
      <c r="F200" s="497"/>
    </row>
    <row r="201" spans="1:6" x14ac:dyDescent="0.25">
      <c r="A201" s="691">
        <v>1801006</v>
      </c>
      <c r="B201" s="693" t="s">
        <v>298</v>
      </c>
      <c r="C201" s="614">
        <v>17</v>
      </c>
      <c r="D201" s="505">
        <v>44620</v>
      </c>
      <c r="E201" s="580">
        <v>758540</v>
      </c>
      <c r="F201" s="497"/>
    </row>
    <row r="202" spans="1:6" ht="26.25" x14ac:dyDescent="0.25">
      <c r="A202" s="691" t="s">
        <v>299</v>
      </c>
      <c r="B202" s="693" t="s">
        <v>300</v>
      </c>
      <c r="C202" s="614">
        <v>1</v>
      </c>
      <c r="D202" s="505">
        <v>9390</v>
      </c>
      <c r="E202" s="580">
        <v>9390</v>
      </c>
      <c r="F202" s="497"/>
    </row>
    <row r="203" spans="1:6" ht="26.25" x14ac:dyDescent="0.25">
      <c r="A203" s="721" t="s">
        <v>301</v>
      </c>
      <c r="B203" s="723" t="s">
        <v>302</v>
      </c>
      <c r="C203" s="719">
        <v>0</v>
      </c>
      <c r="D203" s="505">
        <v>398560</v>
      </c>
      <c r="E203" s="580">
        <v>0</v>
      </c>
      <c r="F203" s="497"/>
    </row>
    <row r="204" spans="1:6" ht="26.25" x14ac:dyDescent="0.25">
      <c r="A204" s="721" t="s">
        <v>303</v>
      </c>
      <c r="B204" s="723" t="s">
        <v>304</v>
      </c>
      <c r="C204" s="719">
        <v>0</v>
      </c>
      <c r="D204" s="505">
        <v>8946190</v>
      </c>
      <c r="E204" s="580">
        <v>0</v>
      </c>
      <c r="F204" s="497"/>
    </row>
    <row r="205" spans="1:6" x14ac:dyDescent="0.25">
      <c r="A205" s="721" t="s">
        <v>305</v>
      </c>
      <c r="B205" s="723" t="s">
        <v>306</v>
      </c>
      <c r="C205" s="719">
        <v>0</v>
      </c>
      <c r="D205" s="505">
        <v>229650</v>
      </c>
      <c r="E205" s="580">
        <v>0</v>
      </c>
      <c r="F205" s="497"/>
    </row>
    <row r="206" spans="1:6" x14ac:dyDescent="0.25">
      <c r="A206" s="722" t="s">
        <v>307</v>
      </c>
      <c r="B206" s="724" t="s">
        <v>308</v>
      </c>
      <c r="C206" s="720">
        <v>0</v>
      </c>
      <c r="D206" s="512">
        <v>1047210</v>
      </c>
      <c r="E206" s="585">
        <v>0</v>
      </c>
      <c r="F206" s="497"/>
    </row>
    <row r="207" spans="1:6" x14ac:dyDescent="0.25">
      <c r="A207" s="676"/>
      <c r="B207" s="675" t="s">
        <v>309</v>
      </c>
      <c r="C207" s="514">
        <v>920</v>
      </c>
      <c r="D207" s="583"/>
      <c r="E207" s="584">
        <v>12265270</v>
      </c>
      <c r="F207" s="497"/>
    </row>
    <row r="208" spans="1:6" x14ac:dyDescent="0.25">
      <c r="A208" s="497"/>
      <c r="B208" s="497"/>
      <c r="C208" s="497"/>
      <c r="D208" s="497"/>
      <c r="E208" s="497"/>
      <c r="F208" s="497"/>
    </row>
    <row r="209" spans="1:6" x14ac:dyDescent="0.25">
      <c r="A209" s="497"/>
      <c r="B209" s="497"/>
      <c r="C209" s="497"/>
      <c r="D209" s="497"/>
      <c r="E209" s="497"/>
      <c r="F209" s="497"/>
    </row>
    <row r="210" spans="1:6" x14ac:dyDescent="0.25">
      <c r="A210" s="753" t="s">
        <v>310</v>
      </c>
      <c r="B210" s="754"/>
      <c r="C210" s="754"/>
      <c r="D210" s="754"/>
      <c r="E210" s="755"/>
      <c r="F210" s="494"/>
    </row>
    <row r="211" spans="1:6" ht="51" x14ac:dyDescent="0.25">
      <c r="A211" s="499" t="s">
        <v>8</v>
      </c>
      <c r="B211" s="499" t="s">
        <v>9</v>
      </c>
      <c r="C211" s="500" t="s">
        <v>10</v>
      </c>
      <c r="D211" s="545" t="s">
        <v>11</v>
      </c>
      <c r="E211" s="501" t="s">
        <v>12</v>
      </c>
      <c r="F211" s="494"/>
    </row>
    <row r="212" spans="1:6" x14ac:dyDescent="0.25">
      <c r="A212" s="668" t="s">
        <v>311</v>
      </c>
      <c r="B212" s="685" t="s">
        <v>312</v>
      </c>
      <c r="C212" s="617">
        <v>0</v>
      </c>
      <c r="D212" s="510">
        <v>14530</v>
      </c>
      <c r="E212" s="579">
        <v>0</v>
      </c>
      <c r="F212" s="497"/>
    </row>
    <row r="213" spans="1:6" x14ac:dyDescent="0.25">
      <c r="A213" s="669" t="s">
        <v>313</v>
      </c>
      <c r="B213" s="665" t="s">
        <v>314</v>
      </c>
      <c r="C213" s="614">
        <v>59</v>
      </c>
      <c r="D213" s="505">
        <v>14530</v>
      </c>
      <c r="E213" s="580">
        <v>857270</v>
      </c>
      <c r="F213" s="497"/>
    </row>
    <row r="214" spans="1:6" x14ac:dyDescent="0.25">
      <c r="A214" s="669" t="s">
        <v>315</v>
      </c>
      <c r="B214" s="664" t="s">
        <v>316</v>
      </c>
      <c r="C214" s="614">
        <v>0</v>
      </c>
      <c r="D214" s="505">
        <v>1390</v>
      </c>
      <c r="E214" s="580">
        <v>0</v>
      </c>
      <c r="F214" s="497"/>
    </row>
    <row r="215" spans="1:6" x14ac:dyDescent="0.25">
      <c r="A215" s="669" t="s">
        <v>317</v>
      </c>
      <c r="B215" s="664" t="s">
        <v>318</v>
      </c>
      <c r="C215" s="614">
        <v>563</v>
      </c>
      <c r="D215" s="505">
        <v>680</v>
      </c>
      <c r="E215" s="580">
        <v>382840</v>
      </c>
      <c r="F215" s="497"/>
    </row>
    <row r="216" spans="1:6" x14ac:dyDescent="0.25">
      <c r="A216" s="669" t="s">
        <v>319</v>
      </c>
      <c r="B216" s="665" t="s">
        <v>320</v>
      </c>
      <c r="C216" s="614">
        <v>4809</v>
      </c>
      <c r="D216" s="505">
        <v>2060</v>
      </c>
      <c r="E216" s="580">
        <v>9906540</v>
      </c>
      <c r="F216" s="497"/>
    </row>
    <row r="217" spans="1:6" x14ac:dyDescent="0.25">
      <c r="A217" s="669" t="s">
        <v>321</v>
      </c>
      <c r="B217" s="665" t="s">
        <v>322</v>
      </c>
      <c r="C217" s="614">
        <v>68</v>
      </c>
      <c r="D217" s="505">
        <v>15480</v>
      </c>
      <c r="E217" s="580">
        <v>1052640</v>
      </c>
      <c r="F217" s="497"/>
    </row>
    <row r="218" spans="1:6" x14ac:dyDescent="0.25">
      <c r="A218" s="669" t="s">
        <v>323</v>
      </c>
      <c r="B218" s="664" t="s">
        <v>324</v>
      </c>
      <c r="C218" s="614">
        <v>119</v>
      </c>
      <c r="D218" s="505">
        <v>35550</v>
      </c>
      <c r="E218" s="580">
        <v>4230450</v>
      </c>
      <c r="F218" s="497"/>
    </row>
    <row r="219" spans="1:6" x14ac:dyDescent="0.25">
      <c r="A219" s="691" t="s">
        <v>325</v>
      </c>
      <c r="B219" s="664" t="s">
        <v>326</v>
      </c>
      <c r="C219" s="614">
        <v>12</v>
      </c>
      <c r="D219" s="591"/>
      <c r="E219" s="580">
        <v>106440</v>
      </c>
      <c r="F219" s="497"/>
    </row>
    <row r="220" spans="1:6" x14ac:dyDescent="0.25">
      <c r="A220" s="670" t="s">
        <v>327</v>
      </c>
      <c r="B220" s="666" t="s">
        <v>328</v>
      </c>
      <c r="C220" s="629">
        <v>47</v>
      </c>
      <c r="D220" s="512">
        <v>28810</v>
      </c>
      <c r="E220" s="585">
        <v>1354070</v>
      </c>
      <c r="F220" s="497"/>
    </row>
    <row r="221" spans="1:6" x14ac:dyDescent="0.25">
      <c r="A221" s="676"/>
      <c r="B221" s="675" t="s">
        <v>329</v>
      </c>
      <c r="C221" s="514">
        <v>5677</v>
      </c>
      <c r="D221" s="583"/>
      <c r="E221" s="590">
        <v>17890250</v>
      </c>
      <c r="F221" s="497"/>
    </row>
    <row r="222" spans="1:6" x14ac:dyDescent="0.25">
      <c r="A222" s="497"/>
      <c r="B222" s="497"/>
      <c r="C222" s="497"/>
      <c r="D222" s="497"/>
      <c r="E222" s="497"/>
      <c r="F222" s="497"/>
    </row>
    <row r="223" spans="1:6" x14ac:dyDescent="0.25">
      <c r="A223" s="497"/>
      <c r="B223" s="497"/>
      <c r="C223" s="497"/>
      <c r="D223" s="497"/>
      <c r="E223" s="497"/>
      <c r="F223" s="497"/>
    </row>
    <row r="224" spans="1:6" ht="15" customHeight="1" x14ac:dyDescent="0.25">
      <c r="A224" s="765" t="s">
        <v>330</v>
      </c>
      <c r="B224" s="766"/>
      <c r="C224" s="767"/>
      <c r="D224" s="497"/>
      <c r="E224" s="497"/>
      <c r="F224" s="494"/>
    </row>
    <row r="225" spans="1:7" ht="38.25" x14ac:dyDescent="0.25">
      <c r="A225" s="499" t="s">
        <v>8</v>
      </c>
      <c r="B225" s="499" t="s">
        <v>10</v>
      </c>
      <c r="C225" s="499" t="s">
        <v>12</v>
      </c>
      <c r="D225" s="494"/>
      <c r="E225" s="497"/>
      <c r="F225" s="497"/>
      <c r="G225" s="490"/>
    </row>
    <row r="226" spans="1:7" x14ac:dyDescent="0.25">
      <c r="A226" s="668" t="s">
        <v>331</v>
      </c>
      <c r="B226" s="686" t="s">
        <v>332</v>
      </c>
      <c r="C226" s="592"/>
      <c r="D226" s="593"/>
      <c r="E226" s="497"/>
      <c r="F226" s="497"/>
      <c r="G226" s="490"/>
    </row>
    <row r="227" spans="1:7" x14ac:dyDescent="0.25">
      <c r="A227" s="689" t="s">
        <v>333</v>
      </c>
      <c r="B227" s="687" t="s">
        <v>334</v>
      </c>
      <c r="C227" s="594"/>
      <c r="D227" s="593"/>
      <c r="E227" s="497"/>
      <c r="F227" s="497"/>
      <c r="G227" s="490"/>
    </row>
    <row r="228" spans="1:7" x14ac:dyDescent="0.25">
      <c r="A228" s="690"/>
      <c r="B228" s="688" t="s">
        <v>335</v>
      </c>
      <c r="C228" s="650">
        <v>0</v>
      </c>
      <c r="D228" s="593"/>
      <c r="E228" s="497"/>
      <c r="F228" s="497"/>
      <c r="G228" s="490"/>
    </row>
    <row r="229" spans="1:7" x14ac:dyDescent="0.25">
      <c r="A229" s="497"/>
      <c r="B229" s="497"/>
      <c r="C229" s="497"/>
      <c r="D229" s="593"/>
      <c r="E229" s="593"/>
      <c r="F229" s="593"/>
      <c r="G229" s="490"/>
    </row>
    <row r="230" spans="1:7" x14ac:dyDescent="0.25">
      <c r="A230" s="497"/>
      <c r="B230" s="497"/>
      <c r="C230" s="497"/>
      <c r="D230" s="497"/>
      <c r="E230" s="497"/>
      <c r="F230" s="593"/>
      <c r="G230" s="595"/>
    </row>
    <row r="231" spans="1:7" x14ac:dyDescent="0.25">
      <c r="A231" s="753" t="s">
        <v>336</v>
      </c>
      <c r="B231" s="754"/>
      <c r="C231" s="754"/>
      <c r="D231" s="754"/>
      <c r="E231" s="755"/>
      <c r="F231" s="593"/>
      <c r="G231" s="595"/>
    </row>
    <row r="232" spans="1:7" ht="51" x14ac:dyDescent="0.25">
      <c r="A232" s="499" t="s">
        <v>8</v>
      </c>
      <c r="B232" s="499" t="s">
        <v>9</v>
      </c>
      <c r="C232" s="500" t="s">
        <v>10</v>
      </c>
      <c r="D232" s="545" t="s">
        <v>11</v>
      </c>
      <c r="E232" s="501" t="s">
        <v>12</v>
      </c>
      <c r="F232" s="593"/>
      <c r="G232" s="595"/>
    </row>
    <row r="233" spans="1:7" x14ac:dyDescent="0.25">
      <c r="A233" s="668" t="s">
        <v>337</v>
      </c>
      <c r="B233" s="685" t="s">
        <v>338</v>
      </c>
      <c r="C233" s="648">
        <v>210</v>
      </c>
      <c r="D233" s="510">
        <v>19890</v>
      </c>
      <c r="E233" s="579">
        <v>4176900</v>
      </c>
      <c r="F233" s="497"/>
      <c r="G233" s="490"/>
    </row>
    <row r="234" spans="1:7" x14ac:dyDescent="0.25">
      <c r="A234" s="670" t="s">
        <v>339</v>
      </c>
      <c r="B234" s="666" t="s">
        <v>340</v>
      </c>
      <c r="C234" s="649">
        <v>0</v>
      </c>
      <c r="D234" s="512">
        <v>249320</v>
      </c>
      <c r="E234" s="585">
        <v>0</v>
      </c>
      <c r="F234" s="497"/>
      <c r="G234" s="490"/>
    </row>
    <row r="235" spans="1:7" x14ac:dyDescent="0.25">
      <c r="A235" s="676"/>
      <c r="B235" s="675" t="s">
        <v>341</v>
      </c>
      <c r="C235" s="514">
        <v>210</v>
      </c>
      <c r="D235" s="583"/>
      <c r="E235" s="584">
        <v>4176900</v>
      </c>
      <c r="F235" s="497"/>
      <c r="G235" s="490"/>
    </row>
    <row r="236" spans="1:7" x14ac:dyDescent="0.25">
      <c r="A236" s="596"/>
      <c r="B236" s="597"/>
      <c r="C236" s="598"/>
      <c r="D236" s="596"/>
      <c r="E236" s="596"/>
      <c r="F236" s="497"/>
      <c r="G236" s="490"/>
    </row>
    <row r="237" spans="1:7" x14ac:dyDescent="0.25">
      <c r="A237" s="596"/>
      <c r="B237" s="597"/>
      <c r="C237" s="598"/>
      <c r="D237" s="596"/>
      <c r="E237" s="596"/>
      <c r="F237" s="497"/>
      <c r="G237" s="490"/>
    </row>
    <row r="238" spans="1:7" x14ac:dyDescent="0.25">
      <c r="A238" s="759" t="s">
        <v>342</v>
      </c>
      <c r="B238" s="754"/>
      <c r="C238" s="754"/>
      <c r="D238" s="754"/>
      <c r="E238" s="755"/>
      <c r="F238" s="497"/>
      <c r="G238" s="490"/>
    </row>
    <row r="239" spans="1:7" ht="51" x14ac:dyDescent="0.25">
      <c r="A239" s="499" t="s">
        <v>8</v>
      </c>
      <c r="B239" s="499" t="s">
        <v>9</v>
      </c>
      <c r="C239" s="500" t="s">
        <v>10</v>
      </c>
      <c r="D239" s="545" t="s">
        <v>11</v>
      </c>
      <c r="E239" s="501" t="s">
        <v>12</v>
      </c>
      <c r="F239" s="497"/>
      <c r="G239" s="490"/>
    </row>
    <row r="240" spans="1:7" x14ac:dyDescent="0.25">
      <c r="A240" s="576" t="s">
        <v>343</v>
      </c>
      <c r="B240" s="522" t="s">
        <v>344</v>
      </c>
      <c r="C240" s="599">
        <v>528</v>
      </c>
      <c r="D240" s="600"/>
      <c r="E240" s="601">
        <v>3886950</v>
      </c>
      <c r="F240" s="497"/>
      <c r="G240" s="490"/>
    </row>
    <row r="241" spans="1:6" x14ac:dyDescent="0.25">
      <c r="A241" s="596"/>
      <c r="B241" s="597"/>
      <c r="C241" s="598"/>
      <c r="D241" s="596"/>
      <c r="E241" s="596"/>
      <c r="F241" s="497"/>
    </row>
    <row r="242" spans="1:6" x14ac:dyDescent="0.25">
      <c r="A242" s="759" t="s">
        <v>345</v>
      </c>
      <c r="B242" s="760"/>
      <c r="C242" s="760"/>
      <c r="D242" s="760"/>
      <c r="E242" s="761"/>
      <c r="F242" s="497"/>
    </row>
    <row r="243" spans="1:6" ht="38.25" x14ac:dyDescent="0.25">
      <c r="A243" s="499" t="s">
        <v>8</v>
      </c>
      <c r="B243" s="500" t="s">
        <v>346</v>
      </c>
      <c r="C243" s="544" t="s">
        <v>347</v>
      </c>
      <c r="D243" s="545" t="s">
        <v>11</v>
      </c>
      <c r="E243" s="501" t="s">
        <v>12</v>
      </c>
      <c r="F243" s="497"/>
    </row>
    <row r="244" spans="1:6" x14ac:dyDescent="0.25">
      <c r="A244" s="509" t="s">
        <v>348</v>
      </c>
      <c r="B244" s="631" t="s">
        <v>349</v>
      </c>
      <c r="C244" s="617">
        <v>0</v>
      </c>
      <c r="D244" s="510">
        <v>254650</v>
      </c>
      <c r="E244" s="579">
        <v>0</v>
      </c>
      <c r="F244" s="497"/>
    </row>
    <row r="245" spans="1:6" x14ac:dyDescent="0.25">
      <c r="A245" s="504" t="s">
        <v>350</v>
      </c>
      <c r="B245" s="632" t="s">
        <v>351</v>
      </c>
      <c r="C245" s="614">
        <v>0</v>
      </c>
      <c r="D245" s="505">
        <v>36180</v>
      </c>
      <c r="E245" s="580">
        <v>0</v>
      </c>
      <c r="F245" s="497"/>
    </row>
    <row r="246" spans="1:6" x14ac:dyDescent="0.25">
      <c r="A246" s="504" t="s">
        <v>352</v>
      </c>
      <c r="B246" s="632" t="s">
        <v>353</v>
      </c>
      <c r="C246" s="614">
        <v>0</v>
      </c>
      <c r="D246" s="505">
        <v>136500</v>
      </c>
      <c r="E246" s="580">
        <v>0</v>
      </c>
      <c r="F246" s="497"/>
    </row>
    <row r="247" spans="1:6" x14ac:dyDescent="0.25">
      <c r="A247" s="504" t="s">
        <v>354</v>
      </c>
      <c r="B247" s="632" t="s">
        <v>355</v>
      </c>
      <c r="C247" s="614">
        <v>0</v>
      </c>
      <c r="D247" s="505">
        <v>136500</v>
      </c>
      <c r="E247" s="580">
        <v>0</v>
      </c>
      <c r="F247" s="497"/>
    </row>
    <row r="248" spans="1:6" x14ac:dyDescent="0.25">
      <c r="A248" s="504" t="s">
        <v>356</v>
      </c>
      <c r="B248" s="632" t="s">
        <v>357</v>
      </c>
      <c r="C248" s="614">
        <v>0</v>
      </c>
      <c r="D248" s="505">
        <v>248500</v>
      </c>
      <c r="E248" s="580">
        <v>0</v>
      </c>
      <c r="F248" s="497"/>
    </row>
    <row r="249" spans="1:6" x14ac:dyDescent="0.25">
      <c r="A249" s="504" t="s">
        <v>358</v>
      </c>
      <c r="B249" s="632" t="s">
        <v>359</v>
      </c>
      <c r="C249" s="614">
        <v>0</v>
      </c>
      <c r="D249" s="505">
        <v>381350</v>
      </c>
      <c r="E249" s="580">
        <v>0</v>
      </c>
      <c r="F249" s="497"/>
    </row>
    <row r="250" spans="1:6" x14ac:dyDescent="0.25">
      <c r="A250" s="504" t="s">
        <v>360</v>
      </c>
      <c r="B250" s="632" t="s">
        <v>361</v>
      </c>
      <c r="C250" s="614">
        <v>0</v>
      </c>
      <c r="D250" s="505">
        <v>650560</v>
      </c>
      <c r="E250" s="580">
        <v>0</v>
      </c>
      <c r="F250" s="497"/>
    </row>
    <row r="251" spans="1:6" x14ac:dyDescent="0.25">
      <c r="A251" s="527" t="s">
        <v>362</v>
      </c>
      <c r="B251" s="632" t="s">
        <v>363</v>
      </c>
      <c r="C251" s="614">
        <v>0</v>
      </c>
      <c r="D251" s="505">
        <v>135500</v>
      </c>
      <c r="E251" s="580">
        <v>0</v>
      </c>
      <c r="F251" s="497"/>
    </row>
    <row r="252" spans="1:6" x14ac:dyDescent="0.25">
      <c r="A252" s="527" t="s">
        <v>364</v>
      </c>
      <c r="B252" s="632" t="s">
        <v>365</v>
      </c>
      <c r="C252" s="614">
        <v>0</v>
      </c>
      <c r="D252" s="505">
        <v>365200</v>
      </c>
      <c r="E252" s="580">
        <v>0</v>
      </c>
      <c r="F252" s="497"/>
    </row>
    <row r="253" spans="1:6" x14ac:dyDescent="0.25">
      <c r="A253" s="527" t="s">
        <v>366</v>
      </c>
      <c r="B253" s="632" t="s">
        <v>367</v>
      </c>
      <c r="C253" s="644">
        <v>0</v>
      </c>
      <c r="D253" s="507">
        <v>153770</v>
      </c>
      <c r="E253" s="602">
        <v>0</v>
      </c>
      <c r="F253" s="497"/>
    </row>
    <row r="254" spans="1:6" x14ac:dyDescent="0.25">
      <c r="A254" s="527" t="s">
        <v>368</v>
      </c>
      <c r="B254" s="632" t="s">
        <v>369</v>
      </c>
      <c r="C254" s="644">
        <v>0</v>
      </c>
      <c r="D254" s="507">
        <v>133620</v>
      </c>
      <c r="E254" s="602">
        <v>0</v>
      </c>
      <c r="F254" s="497"/>
    </row>
    <row r="255" spans="1:6" x14ac:dyDescent="0.25">
      <c r="A255" s="527" t="s">
        <v>370</v>
      </c>
      <c r="B255" s="632" t="s">
        <v>371</v>
      </c>
      <c r="C255" s="644">
        <v>0</v>
      </c>
      <c r="D255" s="507">
        <v>203150</v>
      </c>
      <c r="E255" s="602">
        <v>0</v>
      </c>
      <c r="F255" s="497"/>
    </row>
    <row r="256" spans="1:6" x14ac:dyDescent="0.25">
      <c r="A256" s="527" t="s">
        <v>372</v>
      </c>
      <c r="B256" s="632" t="s">
        <v>373</v>
      </c>
      <c r="C256" s="644">
        <v>0</v>
      </c>
      <c r="D256" s="507">
        <v>53460</v>
      </c>
      <c r="E256" s="602">
        <v>0</v>
      </c>
      <c r="F256" s="497"/>
    </row>
    <row r="257" spans="1:6" x14ac:dyDescent="0.25">
      <c r="A257" s="562" t="s">
        <v>374</v>
      </c>
      <c r="B257" s="643" t="s">
        <v>375</v>
      </c>
      <c r="C257" s="629">
        <v>0</v>
      </c>
      <c r="D257" s="512">
        <v>39950</v>
      </c>
      <c r="E257" s="585">
        <v>0</v>
      </c>
      <c r="F257" s="497"/>
    </row>
    <row r="258" spans="1:6" x14ac:dyDescent="0.25">
      <c r="A258" s="756" t="s">
        <v>376</v>
      </c>
      <c r="B258" s="757"/>
      <c r="C258" s="757"/>
      <c r="D258" s="757"/>
      <c r="E258" s="758"/>
      <c r="F258" s="497"/>
    </row>
    <row r="259" spans="1:6" x14ac:dyDescent="0.25">
      <c r="A259" s="668" t="s">
        <v>377</v>
      </c>
      <c r="B259" s="682" t="s">
        <v>349</v>
      </c>
      <c r="C259" s="617">
        <v>0</v>
      </c>
      <c r="D259" s="510">
        <v>219080</v>
      </c>
      <c r="E259" s="579">
        <v>0</v>
      </c>
      <c r="F259" s="497"/>
    </row>
    <row r="260" spans="1:6" x14ac:dyDescent="0.25">
      <c r="A260" s="669" t="s">
        <v>378</v>
      </c>
      <c r="B260" s="683" t="s">
        <v>379</v>
      </c>
      <c r="C260" s="614">
        <v>0</v>
      </c>
      <c r="D260" s="505">
        <v>1303250</v>
      </c>
      <c r="E260" s="580">
        <v>0</v>
      </c>
      <c r="F260" s="497"/>
    </row>
    <row r="261" spans="1:6" x14ac:dyDescent="0.25">
      <c r="A261" s="669" t="s">
        <v>380</v>
      </c>
      <c r="B261" s="683" t="s">
        <v>381</v>
      </c>
      <c r="C261" s="614">
        <v>0</v>
      </c>
      <c r="D261" s="505">
        <v>196630</v>
      </c>
      <c r="E261" s="580">
        <v>0</v>
      </c>
      <c r="F261" s="497"/>
    </row>
    <row r="262" spans="1:6" x14ac:dyDescent="0.25">
      <c r="A262" s="669" t="s">
        <v>382</v>
      </c>
      <c r="B262" s="683" t="s">
        <v>383</v>
      </c>
      <c r="C262" s="614">
        <v>0</v>
      </c>
      <c r="D262" s="505">
        <v>173880</v>
      </c>
      <c r="E262" s="580">
        <v>0</v>
      </c>
      <c r="F262" s="497"/>
    </row>
    <row r="263" spans="1:6" x14ac:dyDescent="0.25">
      <c r="A263" s="669" t="s">
        <v>384</v>
      </c>
      <c r="B263" s="683" t="s">
        <v>385</v>
      </c>
      <c r="C263" s="614">
        <v>0</v>
      </c>
      <c r="D263" s="505">
        <v>352980</v>
      </c>
      <c r="E263" s="580">
        <v>0</v>
      </c>
      <c r="F263" s="497"/>
    </row>
    <row r="264" spans="1:6" x14ac:dyDescent="0.25">
      <c r="A264" s="669" t="s">
        <v>386</v>
      </c>
      <c r="B264" s="683" t="s">
        <v>387</v>
      </c>
      <c r="C264" s="614">
        <v>0</v>
      </c>
      <c r="D264" s="505">
        <v>1173780</v>
      </c>
      <c r="E264" s="580">
        <v>0</v>
      </c>
      <c r="F264" s="497"/>
    </row>
    <row r="265" spans="1:6" x14ac:dyDescent="0.25">
      <c r="A265" s="669" t="s">
        <v>388</v>
      </c>
      <c r="B265" s="683" t="s">
        <v>389</v>
      </c>
      <c r="C265" s="614">
        <v>0</v>
      </c>
      <c r="D265" s="505">
        <v>1206250</v>
      </c>
      <c r="E265" s="580">
        <v>0</v>
      </c>
      <c r="F265" s="497"/>
    </row>
    <row r="266" spans="1:6" x14ac:dyDescent="0.25">
      <c r="A266" s="669" t="s">
        <v>390</v>
      </c>
      <c r="B266" s="683" t="s">
        <v>391</v>
      </c>
      <c r="C266" s="614">
        <v>0</v>
      </c>
      <c r="D266" s="505">
        <v>955090</v>
      </c>
      <c r="E266" s="580">
        <v>0</v>
      </c>
      <c r="F266" s="497"/>
    </row>
    <row r="267" spans="1:6" x14ac:dyDescent="0.25">
      <c r="A267" s="669" t="s">
        <v>392</v>
      </c>
      <c r="B267" s="683" t="s">
        <v>393</v>
      </c>
      <c r="C267" s="614">
        <v>0</v>
      </c>
      <c r="D267" s="505">
        <v>1006570</v>
      </c>
      <c r="E267" s="580">
        <v>0</v>
      </c>
      <c r="F267" s="497"/>
    </row>
    <row r="268" spans="1:6" x14ac:dyDescent="0.25">
      <c r="A268" s="669" t="s">
        <v>394</v>
      </c>
      <c r="B268" s="683" t="s">
        <v>395</v>
      </c>
      <c r="C268" s="614">
        <v>0</v>
      </c>
      <c r="D268" s="505">
        <v>397090</v>
      </c>
      <c r="E268" s="580">
        <v>0</v>
      </c>
      <c r="F268" s="497"/>
    </row>
    <row r="269" spans="1:6" x14ac:dyDescent="0.25">
      <c r="A269" s="669" t="s">
        <v>396</v>
      </c>
      <c r="B269" s="683" t="s">
        <v>397</v>
      </c>
      <c r="C269" s="614">
        <v>0</v>
      </c>
      <c r="D269" s="505">
        <v>95100</v>
      </c>
      <c r="E269" s="580">
        <v>0</v>
      </c>
      <c r="F269" s="497"/>
    </row>
    <row r="270" spans="1:6" x14ac:dyDescent="0.25">
      <c r="A270" s="669" t="s">
        <v>398</v>
      </c>
      <c r="B270" s="683" t="s">
        <v>399</v>
      </c>
      <c r="C270" s="614">
        <v>0</v>
      </c>
      <c r="D270" s="505">
        <v>283710</v>
      </c>
      <c r="E270" s="580">
        <v>0</v>
      </c>
      <c r="F270" s="497"/>
    </row>
    <row r="271" spans="1:6" x14ac:dyDescent="0.25">
      <c r="A271" s="669" t="s">
        <v>400</v>
      </c>
      <c r="B271" s="665" t="s">
        <v>401</v>
      </c>
      <c r="C271" s="614">
        <v>0</v>
      </c>
      <c r="D271" s="505">
        <v>80220</v>
      </c>
      <c r="E271" s="580">
        <v>0</v>
      </c>
      <c r="F271" s="497"/>
    </row>
    <row r="272" spans="1:6" x14ac:dyDescent="0.25">
      <c r="A272" s="669" t="s">
        <v>402</v>
      </c>
      <c r="B272" s="665" t="s">
        <v>403</v>
      </c>
      <c r="C272" s="614">
        <v>0</v>
      </c>
      <c r="D272" s="505">
        <v>1378400</v>
      </c>
      <c r="E272" s="580">
        <v>0</v>
      </c>
      <c r="F272" s="497"/>
    </row>
    <row r="273" spans="1:10" x14ac:dyDescent="0.25">
      <c r="A273" s="669" t="s">
        <v>404</v>
      </c>
      <c r="B273" s="665" t="s">
        <v>405</v>
      </c>
      <c r="C273" s="614">
        <v>0</v>
      </c>
      <c r="D273" s="505">
        <v>322300</v>
      </c>
      <c r="E273" s="580">
        <v>0</v>
      </c>
      <c r="F273" s="497"/>
      <c r="G273" s="490"/>
      <c r="H273" s="490"/>
      <c r="I273" s="490"/>
      <c r="J273" s="490"/>
    </row>
    <row r="274" spans="1:10" x14ac:dyDescent="0.25">
      <c r="A274" s="669" t="s">
        <v>406</v>
      </c>
      <c r="B274" s="665" t="s">
        <v>407</v>
      </c>
      <c r="C274" s="614">
        <v>0</v>
      </c>
      <c r="D274" s="505">
        <v>1079720</v>
      </c>
      <c r="E274" s="580">
        <v>0</v>
      </c>
      <c r="F274" s="497"/>
      <c r="G274" s="490"/>
      <c r="H274" s="490"/>
      <c r="I274" s="490"/>
      <c r="J274" s="490"/>
    </row>
    <row r="275" spans="1:10" x14ac:dyDescent="0.25">
      <c r="A275" s="669" t="s">
        <v>408</v>
      </c>
      <c r="B275" s="684" t="s">
        <v>409</v>
      </c>
      <c r="C275" s="614">
        <v>0</v>
      </c>
      <c r="D275" s="505">
        <v>661000</v>
      </c>
      <c r="E275" s="580">
        <v>0</v>
      </c>
      <c r="F275" s="497"/>
      <c r="G275" s="490"/>
      <c r="H275" s="490"/>
      <c r="I275" s="490"/>
      <c r="J275" s="490"/>
    </row>
    <row r="276" spans="1:10" x14ac:dyDescent="0.25">
      <c r="A276" s="670" t="s">
        <v>410</v>
      </c>
      <c r="B276" s="684" t="s">
        <v>411</v>
      </c>
      <c r="C276" s="629">
        <v>0</v>
      </c>
      <c r="D276" s="507">
        <v>539420</v>
      </c>
      <c r="E276" s="602">
        <v>0</v>
      </c>
      <c r="F276" s="497"/>
      <c r="G276" s="490"/>
      <c r="H276" s="490"/>
      <c r="I276" s="490"/>
      <c r="J276" s="490"/>
    </row>
    <row r="277" spans="1:10" x14ac:dyDescent="0.25">
      <c r="A277" s="756" t="s">
        <v>412</v>
      </c>
      <c r="B277" s="757"/>
      <c r="C277" s="757"/>
      <c r="D277" s="757"/>
      <c r="E277" s="758"/>
      <c r="F277" s="497"/>
      <c r="G277" s="490"/>
      <c r="H277" s="490"/>
      <c r="I277" s="490"/>
      <c r="J277" s="490"/>
    </row>
    <row r="278" spans="1:10" x14ac:dyDescent="0.25">
      <c r="A278" s="668" t="s">
        <v>413</v>
      </c>
      <c r="B278" s="677" t="s">
        <v>414</v>
      </c>
      <c r="C278" s="646">
        <v>0</v>
      </c>
      <c r="D278" s="502">
        <v>290780</v>
      </c>
      <c r="E278" s="603">
        <v>0</v>
      </c>
      <c r="F278" s="497"/>
      <c r="G278" s="490"/>
      <c r="H278" s="490"/>
      <c r="I278" s="490"/>
      <c r="J278" s="490"/>
    </row>
    <row r="279" spans="1:10" x14ac:dyDescent="0.25">
      <c r="A279" s="669" t="s">
        <v>415</v>
      </c>
      <c r="B279" s="665" t="s">
        <v>416</v>
      </c>
      <c r="C279" s="614">
        <v>0</v>
      </c>
      <c r="D279" s="505">
        <v>169530</v>
      </c>
      <c r="E279" s="580">
        <v>0</v>
      </c>
      <c r="F279" s="497"/>
      <c r="G279" s="490"/>
      <c r="H279" s="490"/>
      <c r="I279" s="490"/>
      <c r="J279" s="490"/>
    </row>
    <row r="280" spans="1:10" x14ac:dyDescent="0.25">
      <c r="A280" s="669" t="s">
        <v>417</v>
      </c>
      <c r="B280" s="665" t="s">
        <v>418</v>
      </c>
      <c r="C280" s="614">
        <v>0</v>
      </c>
      <c r="D280" s="505">
        <v>409630</v>
      </c>
      <c r="E280" s="580">
        <v>0</v>
      </c>
      <c r="F280" s="497"/>
      <c r="G280" s="490"/>
      <c r="H280" s="490"/>
      <c r="I280" s="490"/>
      <c r="J280" s="490"/>
    </row>
    <row r="281" spans="1:10" x14ac:dyDescent="0.25">
      <c r="A281" s="669" t="s">
        <v>419</v>
      </c>
      <c r="B281" s="665" t="s">
        <v>420</v>
      </c>
      <c r="C281" s="614">
        <v>0</v>
      </c>
      <c r="D281" s="505">
        <v>424500</v>
      </c>
      <c r="E281" s="580">
        <v>0</v>
      </c>
      <c r="F281" s="497"/>
      <c r="G281" s="490"/>
      <c r="H281" s="490"/>
      <c r="I281" s="490"/>
      <c r="J281" s="490"/>
    </row>
    <row r="282" spans="1:10" x14ac:dyDescent="0.25">
      <c r="A282" s="670" t="s">
        <v>421</v>
      </c>
      <c r="B282" s="678" t="s">
        <v>422</v>
      </c>
      <c r="C282" s="629">
        <v>0</v>
      </c>
      <c r="D282" s="512">
        <v>265260</v>
      </c>
      <c r="E282" s="585">
        <v>0</v>
      </c>
      <c r="F282" s="604"/>
      <c r="G282" s="490"/>
      <c r="H282" s="490"/>
      <c r="I282" s="490"/>
      <c r="J282" s="490"/>
    </row>
    <row r="283" spans="1:10" x14ac:dyDescent="0.25">
      <c r="A283" s="681" t="s">
        <v>423</v>
      </c>
      <c r="B283" s="679" t="s">
        <v>424</v>
      </c>
      <c r="C283" s="647">
        <v>92</v>
      </c>
      <c r="D283" s="605">
        <v>36070</v>
      </c>
      <c r="E283" s="601">
        <v>3318440</v>
      </c>
      <c r="F283" s="604"/>
      <c r="G283" s="490"/>
      <c r="H283" s="490"/>
      <c r="I283" s="490"/>
      <c r="J283" s="490"/>
    </row>
    <row r="284" spans="1:10" x14ac:dyDescent="0.25">
      <c r="A284" s="676"/>
      <c r="B284" s="680" t="s">
        <v>425</v>
      </c>
      <c r="C284" s="514">
        <v>92</v>
      </c>
      <c r="D284" s="583"/>
      <c r="E284" s="584">
        <v>3318440</v>
      </c>
      <c r="F284" s="604"/>
      <c r="G284" s="490"/>
      <c r="H284" s="490"/>
      <c r="I284" s="490"/>
      <c r="J284" s="490"/>
    </row>
    <row r="285" spans="1:10" x14ac:dyDescent="0.25">
      <c r="A285" s="596"/>
      <c r="B285" s="497"/>
      <c r="C285" s="497"/>
      <c r="D285" s="596"/>
      <c r="E285" s="596"/>
      <c r="F285" s="497"/>
      <c r="G285" s="490"/>
      <c r="H285" s="490"/>
      <c r="I285" s="490"/>
      <c r="J285" s="490"/>
    </row>
    <row r="286" spans="1:10" x14ac:dyDescent="0.25">
      <c r="A286" s="596"/>
      <c r="B286" s="598"/>
      <c r="C286" s="598"/>
      <c r="D286" s="596"/>
      <c r="E286" s="596"/>
      <c r="F286" s="606"/>
      <c r="G286" s="607"/>
      <c r="H286" s="490"/>
      <c r="I286" s="490"/>
      <c r="J286" s="608"/>
    </row>
    <row r="287" spans="1:10" x14ac:dyDescent="0.25">
      <c r="A287" s="759" t="s">
        <v>426</v>
      </c>
      <c r="B287" s="760"/>
      <c r="C287" s="760"/>
      <c r="D287" s="760"/>
      <c r="E287" s="761"/>
      <c r="F287" s="497"/>
      <c r="G287" s="490"/>
      <c r="H287" s="490"/>
      <c r="I287" s="490"/>
      <c r="J287" s="490"/>
    </row>
    <row r="288" spans="1:10" ht="38.25" x14ac:dyDescent="0.25">
      <c r="A288" s="499" t="s">
        <v>8</v>
      </c>
      <c r="B288" s="499" t="s">
        <v>426</v>
      </c>
      <c r="C288" s="500" t="s">
        <v>347</v>
      </c>
      <c r="D288" s="545" t="s">
        <v>11</v>
      </c>
      <c r="E288" s="501" t="s">
        <v>12</v>
      </c>
      <c r="F288" s="604"/>
      <c r="G288" s="490"/>
      <c r="H288" s="490"/>
      <c r="I288" s="490"/>
      <c r="J288" s="490"/>
    </row>
    <row r="289" spans="1:7" x14ac:dyDescent="0.25">
      <c r="A289" s="668" t="s">
        <v>427</v>
      </c>
      <c r="B289" s="672" t="s">
        <v>428</v>
      </c>
      <c r="C289" s="617">
        <v>3</v>
      </c>
      <c r="D289" s="510">
        <v>7100</v>
      </c>
      <c r="E289" s="579">
        <v>21300</v>
      </c>
      <c r="F289" s="497"/>
      <c r="G289" s="490"/>
    </row>
    <row r="290" spans="1:7" x14ac:dyDescent="0.25">
      <c r="A290" s="669" t="s">
        <v>429</v>
      </c>
      <c r="B290" s="673" t="s">
        <v>430</v>
      </c>
      <c r="C290" s="614">
        <v>0</v>
      </c>
      <c r="D290" s="505">
        <v>3780</v>
      </c>
      <c r="E290" s="580">
        <v>0</v>
      </c>
      <c r="F290" s="497"/>
      <c r="G290" s="490"/>
    </row>
    <row r="291" spans="1:7" x14ac:dyDescent="0.25">
      <c r="A291" s="669" t="s">
        <v>431</v>
      </c>
      <c r="B291" s="673" t="s">
        <v>432</v>
      </c>
      <c r="C291" s="614">
        <v>1</v>
      </c>
      <c r="D291" s="505">
        <v>14240</v>
      </c>
      <c r="E291" s="580">
        <v>14240</v>
      </c>
      <c r="F291" s="497"/>
      <c r="G291" s="490"/>
    </row>
    <row r="292" spans="1:7" x14ac:dyDescent="0.25">
      <c r="A292" s="669" t="s">
        <v>433</v>
      </c>
      <c r="B292" s="673" t="s">
        <v>434</v>
      </c>
      <c r="C292" s="614">
        <v>0</v>
      </c>
      <c r="D292" s="505">
        <v>146040</v>
      </c>
      <c r="E292" s="580">
        <v>0</v>
      </c>
      <c r="F292" s="497"/>
      <c r="G292" s="490"/>
    </row>
    <row r="293" spans="1:7" x14ac:dyDescent="0.25">
      <c r="A293" s="670" t="s">
        <v>435</v>
      </c>
      <c r="B293" s="674" t="s">
        <v>436</v>
      </c>
      <c r="C293" s="629">
        <v>0</v>
      </c>
      <c r="D293" s="512">
        <v>802130</v>
      </c>
      <c r="E293" s="585">
        <v>0</v>
      </c>
      <c r="F293" s="497"/>
      <c r="G293" s="490"/>
    </row>
    <row r="294" spans="1:7" x14ac:dyDescent="0.25">
      <c r="A294" s="676"/>
      <c r="B294" s="675" t="s">
        <v>437</v>
      </c>
      <c r="C294" s="551">
        <v>4</v>
      </c>
      <c r="D294" s="523"/>
      <c r="E294" s="552">
        <v>35540</v>
      </c>
      <c r="F294" s="497"/>
      <c r="G294" s="490"/>
    </row>
    <row r="295" spans="1:7" x14ac:dyDescent="0.25">
      <c r="A295" s="596"/>
      <c r="B295" s="598"/>
      <c r="C295" s="596"/>
      <c r="D295" s="596"/>
      <c r="E295" s="596"/>
      <c r="F295" s="497"/>
      <c r="G295" s="490"/>
    </row>
    <row r="296" spans="1:7" x14ac:dyDescent="0.25">
      <c r="A296" s="596"/>
      <c r="B296" s="598"/>
      <c r="C296" s="596"/>
      <c r="D296" s="596"/>
      <c r="E296" s="596"/>
      <c r="F296" s="609"/>
      <c r="G296" s="498"/>
    </row>
    <row r="297" spans="1:7" x14ac:dyDescent="0.25">
      <c r="A297" s="756" t="s">
        <v>438</v>
      </c>
      <c r="B297" s="757"/>
      <c r="C297" s="757"/>
      <c r="D297" s="757"/>
      <c r="E297" s="758"/>
      <c r="F297" s="610"/>
      <c r="G297" s="498"/>
    </row>
    <row r="298" spans="1:7" ht="51" x14ac:dyDescent="0.25">
      <c r="A298" s="499" t="s">
        <v>8</v>
      </c>
      <c r="B298" s="641" t="s">
        <v>438</v>
      </c>
      <c r="C298" s="642" t="s">
        <v>439</v>
      </c>
      <c r="D298" s="545" t="s">
        <v>11</v>
      </c>
      <c r="E298" s="501" t="s">
        <v>12</v>
      </c>
      <c r="F298" s="610"/>
      <c r="G298" s="498"/>
    </row>
    <row r="299" spans="1:7" x14ac:dyDescent="0.25">
      <c r="A299" s="668" t="s">
        <v>440</v>
      </c>
      <c r="B299" s="663" t="s">
        <v>441</v>
      </c>
      <c r="C299" s="617">
        <v>216</v>
      </c>
      <c r="D299" s="510">
        <v>18980</v>
      </c>
      <c r="E299" s="579">
        <v>4099680</v>
      </c>
      <c r="F299" s="497"/>
      <c r="G299" s="490"/>
    </row>
    <row r="300" spans="1:7" x14ac:dyDescent="0.25">
      <c r="A300" s="669" t="s">
        <v>442</v>
      </c>
      <c r="B300" s="664" t="s">
        <v>443</v>
      </c>
      <c r="C300" s="614">
        <v>182</v>
      </c>
      <c r="D300" s="505">
        <v>59710</v>
      </c>
      <c r="E300" s="580">
        <v>10867220</v>
      </c>
      <c r="F300" s="497"/>
      <c r="G300" s="490"/>
    </row>
    <row r="301" spans="1:7" x14ac:dyDescent="0.25">
      <c r="A301" s="669" t="s">
        <v>444</v>
      </c>
      <c r="B301" s="664" t="s">
        <v>445</v>
      </c>
      <c r="C301" s="614">
        <v>0</v>
      </c>
      <c r="D301" s="505">
        <v>74020</v>
      </c>
      <c r="E301" s="580">
        <v>0</v>
      </c>
      <c r="F301" s="497"/>
      <c r="G301" s="490"/>
    </row>
    <row r="302" spans="1:7" x14ac:dyDescent="0.25">
      <c r="A302" s="669" t="s">
        <v>446</v>
      </c>
      <c r="B302" s="664" t="s">
        <v>447</v>
      </c>
      <c r="C302" s="614">
        <v>199</v>
      </c>
      <c r="D302" s="505">
        <v>2600</v>
      </c>
      <c r="E302" s="580">
        <v>517400</v>
      </c>
      <c r="F302" s="497"/>
      <c r="G302" s="490"/>
    </row>
    <row r="303" spans="1:7" x14ac:dyDescent="0.25">
      <c r="A303" s="669" t="s">
        <v>448</v>
      </c>
      <c r="B303" s="664" t="s">
        <v>449</v>
      </c>
      <c r="C303" s="614">
        <v>0</v>
      </c>
      <c r="D303" s="505">
        <v>70</v>
      </c>
      <c r="E303" s="580">
        <v>0</v>
      </c>
      <c r="F303" s="497"/>
      <c r="G303" s="490"/>
    </row>
    <row r="304" spans="1:7" x14ac:dyDescent="0.25">
      <c r="A304" s="669" t="s">
        <v>450</v>
      </c>
      <c r="B304" s="665" t="s">
        <v>451</v>
      </c>
      <c r="C304" s="614">
        <v>0</v>
      </c>
      <c r="D304" s="505">
        <v>157140</v>
      </c>
      <c r="E304" s="580">
        <v>0</v>
      </c>
      <c r="F304" s="497"/>
      <c r="G304" s="490"/>
    </row>
    <row r="305" spans="1:7" x14ac:dyDescent="0.25">
      <c r="A305" s="670" t="s">
        <v>452</v>
      </c>
      <c r="B305" s="666" t="s">
        <v>453</v>
      </c>
      <c r="C305" s="629">
        <v>0</v>
      </c>
      <c r="D305" s="512">
        <v>10680</v>
      </c>
      <c r="E305" s="585">
        <v>0</v>
      </c>
      <c r="F305" s="497"/>
      <c r="G305" s="490"/>
    </row>
    <row r="306" spans="1:7" x14ac:dyDescent="0.25">
      <c r="A306" s="671"/>
      <c r="B306" s="771" t="s">
        <v>454</v>
      </c>
      <c r="C306" s="772"/>
      <c r="D306" s="600"/>
      <c r="E306" s="611">
        <v>15484300</v>
      </c>
      <c r="F306" s="497"/>
      <c r="G306" s="490"/>
    </row>
    <row r="307" spans="1:7" x14ac:dyDescent="0.25">
      <c r="A307" s="497"/>
      <c r="B307" s="497"/>
      <c r="C307" s="497"/>
      <c r="D307" s="497"/>
      <c r="E307" s="497"/>
      <c r="F307" s="593"/>
      <c r="G307" s="595"/>
    </row>
    <row r="308" spans="1:7" x14ac:dyDescent="0.25">
      <c r="A308" s="497"/>
      <c r="B308" s="497"/>
      <c r="C308" s="497"/>
      <c r="D308" s="497"/>
      <c r="E308" s="497"/>
      <c r="F308" s="593"/>
      <c r="G308" s="595"/>
    </row>
    <row r="309" spans="1:7" ht="15" customHeight="1" x14ac:dyDescent="0.25">
      <c r="A309" s="745" t="s">
        <v>455</v>
      </c>
      <c r="B309" s="746"/>
      <c r="C309" s="746"/>
      <c r="D309" s="746"/>
      <c r="E309" s="747"/>
      <c r="F309" s="593"/>
      <c r="G309" s="595"/>
    </row>
    <row r="310" spans="1:7" ht="15" customHeight="1" x14ac:dyDescent="0.25">
      <c r="A310" s="542"/>
      <c r="B310" s="768" t="s">
        <v>456</v>
      </c>
      <c r="C310" s="769"/>
      <c r="D310" s="770"/>
      <c r="E310" s="612">
        <v>26902130</v>
      </c>
      <c r="F310" s="497"/>
      <c r="G310" s="490"/>
    </row>
    <row r="311" spans="1:7" x14ac:dyDescent="0.25">
      <c r="A311" s="497"/>
      <c r="B311" s="497"/>
      <c r="C311" s="497"/>
      <c r="D311" s="497"/>
      <c r="E311" s="497"/>
      <c r="F311" s="593"/>
      <c r="G311" s="595"/>
    </row>
    <row r="312" spans="1:7" x14ac:dyDescent="0.25">
      <c r="A312" s="497"/>
      <c r="B312" s="497"/>
      <c r="C312" s="497"/>
      <c r="D312" s="497"/>
      <c r="E312" s="497"/>
      <c r="F312" s="593"/>
      <c r="G312" s="595"/>
    </row>
    <row r="313" spans="1:7" x14ac:dyDescent="0.25">
      <c r="A313" s="745" t="s">
        <v>457</v>
      </c>
      <c r="B313" s="746"/>
      <c r="C313" s="746"/>
      <c r="D313" s="746"/>
      <c r="E313" s="747"/>
      <c r="F313" s="593"/>
      <c r="G313" s="595"/>
    </row>
    <row r="314" spans="1:7" ht="38.25" x14ac:dyDescent="0.25">
      <c r="A314" s="756" t="s">
        <v>458</v>
      </c>
      <c r="B314" s="757"/>
      <c r="C314" s="757"/>
      <c r="D314" s="758"/>
      <c r="E314" s="499" t="s">
        <v>12</v>
      </c>
      <c r="F314" s="593"/>
      <c r="G314" s="595"/>
    </row>
    <row r="315" spans="1:7" ht="15" customHeight="1" x14ac:dyDescent="0.25">
      <c r="A315" s="542"/>
      <c r="B315" s="768" t="s">
        <v>459</v>
      </c>
      <c r="C315" s="769"/>
      <c r="D315" s="770"/>
      <c r="E315" s="612">
        <v>747388112.5</v>
      </c>
      <c r="F315" s="593"/>
      <c r="G315" s="595"/>
    </row>
    <row r="316" spans="1:7" x14ac:dyDescent="0.25">
      <c r="A316" s="497"/>
      <c r="B316" s="497"/>
      <c r="C316" s="497"/>
      <c r="D316" s="497"/>
      <c r="E316" s="497"/>
      <c r="F316" s="494"/>
      <c r="G316" s="490"/>
    </row>
    <row r="317" spans="1:7" x14ac:dyDescent="0.25">
      <c r="A317" s="497"/>
      <c r="B317" s="497"/>
      <c r="C317" s="497"/>
      <c r="D317" s="497"/>
      <c r="E317" s="497"/>
      <c r="F317" s="494"/>
      <c r="G317" s="490"/>
    </row>
    <row r="318" spans="1:7" x14ac:dyDescent="0.25">
      <c r="A318" s="745" t="s">
        <v>460</v>
      </c>
      <c r="B318" s="746"/>
      <c r="C318" s="747"/>
      <c r="D318" s="497"/>
      <c r="E318" s="497"/>
      <c r="F318" s="494"/>
      <c r="G318" s="490"/>
    </row>
    <row r="319" spans="1:7" x14ac:dyDescent="0.25">
      <c r="A319" s="756" t="s">
        <v>461</v>
      </c>
      <c r="B319" s="757"/>
      <c r="C319" s="758"/>
      <c r="D319" s="497"/>
      <c r="E319" s="497"/>
      <c r="F319" s="494"/>
      <c r="G319" s="490"/>
    </row>
    <row r="320" spans="1:7" ht="38.25" x14ac:dyDescent="0.25">
      <c r="A320" s="745" t="s">
        <v>462</v>
      </c>
      <c r="B320" s="746"/>
      <c r="C320" s="499" t="s">
        <v>463</v>
      </c>
      <c r="D320" s="497"/>
      <c r="E320" s="497"/>
      <c r="F320" s="497"/>
      <c r="G320" s="490"/>
    </row>
    <row r="321" spans="1:6" x14ac:dyDescent="0.25">
      <c r="A321" s="613" t="s">
        <v>464</v>
      </c>
      <c r="B321" s="631"/>
      <c r="C321" s="637"/>
      <c r="D321" s="497"/>
      <c r="E321" s="497"/>
      <c r="F321" s="497"/>
    </row>
    <row r="322" spans="1:6" x14ac:dyDescent="0.25">
      <c r="A322" s="614" t="s">
        <v>465</v>
      </c>
      <c r="B322" s="632"/>
      <c r="C322" s="638"/>
      <c r="D322" s="497"/>
      <c r="E322" s="497"/>
      <c r="F322" s="497"/>
    </row>
    <row r="323" spans="1:6" x14ac:dyDescent="0.25">
      <c r="A323" s="614" t="s">
        <v>466</v>
      </c>
      <c r="B323" s="632"/>
      <c r="C323" s="638"/>
      <c r="D323" s="497"/>
      <c r="E323" s="497"/>
      <c r="F323" s="497"/>
    </row>
    <row r="324" spans="1:6" x14ac:dyDescent="0.25">
      <c r="A324" s="615" t="s">
        <v>467</v>
      </c>
      <c r="B324" s="632"/>
      <c r="C324" s="638"/>
      <c r="D324" s="497"/>
      <c r="E324" s="497"/>
      <c r="F324" s="497"/>
    </row>
    <row r="325" spans="1:6" x14ac:dyDescent="0.25">
      <c r="A325" s="616" t="s">
        <v>468</v>
      </c>
      <c r="B325" s="633"/>
      <c r="C325" s="639">
        <v>0</v>
      </c>
      <c r="D325" s="497"/>
      <c r="E325" s="497"/>
      <c r="F325" s="497"/>
    </row>
    <row r="326" spans="1:6" x14ac:dyDescent="0.25">
      <c r="A326" s="617" t="s">
        <v>469</v>
      </c>
      <c r="B326" s="634"/>
      <c r="C326" s="637">
        <v>8311466</v>
      </c>
      <c r="D326" s="497"/>
      <c r="E326" s="497"/>
      <c r="F326" s="497"/>
    </row>
    <row r="327" spans="1:6" x14ac:dyDescent="0.25">
      <c r="A327" s="618" t="s">
        <v>470</v>
      </c>
      <c r="B327" s="635"/>
      <c r="C327" s="638"/>
      <c r="D327" s="497"/>
      <c r="E327" s="497"/>
      <c r="F327" s="497"/>
    </row>
    <row r="328" spans="1:6" x14ac:dyDescent="0.25">
      <c r="A328" s="614" t="s">
        <v>471</v>
      </c>
      <c r="B328" s="635"/>
      <c r="C328" s="638"/>
      <c r="D328" s="497"/>
      <c r="E328" s="497"/>
      <c r="F328" s="497"/>
    </row>
    <row r="329" spans="1:6" x14ac:dyDescent="0.25">
      <c r="A329" s="614" t="s">
        <v>472</v>
      </c>
      <c r="B329" s="635"/>
      <c r="C329" s="638"/>
      <c r="D329" s="497"/>
      <c r="E329" s="497"/>
      <c r="F329" s="497"/>
    </row>
    <row r="330" spans="1:6" x14ac:dyDescent="0.25">
      <c r="A330" s="618" t="s">
        <v>473</v>
      </c>
      <c r="B330" s="635"/>
      <c r="C330" s="638"/>
      <c r="D330" s="497"/>
      <c r="E330" s="497"/>
      <c r="F330" s="497"/>
    </row>
    <row r="331" spans="1:6" x14ac:dyDescent="0.25">
      <c r="A331" s="618" t="s">
        <v>474</v>
      </c>
      <c r="B331" s="635"/>
      <c r="C331" s="638"/>
      <c r="D331" s="497"/>
      <c r="E331" s="497"/>
      <c r="F331" s="497"/>
    </row>
    <row r="332" spans="1:6" x14ac:dyDescent="0.25">
      <c r="A332" s="619" t="s">
        <v>475</v>
      </c>
      <c r="B332" s="636"/>
      <c r="C332" s="640">
        <v>81903258</v>
      </c>
      <c r="D332" s="497"/>
      <c r="E332" s="497"/>
      <c r="F332" s="497"/>
    </row>
    <row r="333" spans="1:6" x14ac:dyDescent="0.25">
      <c r="A333" s="514"/>
      <c r="B333" s="630" t="s">
        <v>476</v>
      </c>
      <c r="C333" s="589">
        <v>90214724</v>
      </c>
      <c r="D333" s="497"/>
      <c r="E333" s="497"/>
      <c r="F333" s="497"/>
    </row>
    <row r="334" spans="1:6" x14ac:dyDescent="0.25">
      <c r="A334" s="497"/>
      <c r="B334" s="497"/>
      <c r="C334" s="497"/>
      <c r="D334" s="497"/>
      <c r="E334" s="497"/>
      <c r="F334" s="494"/>
    </row>
    <row r="335" spans="1:6" x14ac:dyDescent="0.25">
      <c r="A335" s="497"/>
      <c r="B335" s="497"/>
      <c r="C335" s="497"/>
      <c r="D335" s="497"/>
      <c r="E335" s="497"/>
      <c r="F335" s="494"/>
    </row>
    <row r="336" spans="1:6" x14ac:dyDescent="0.25">
      <c r="A336" s="497"/>
      <c r="B336" s="497"/>
      <c r="C336" s="497"/>
      <c r="D336" s="497"/>
      <c r="E336" s="497"/>
      <c r="F336" s="494"/>
    </row>
    <row r="337" spans="1:6" x14ac:dyDescent="0.25">
      <c r="A337" s="596"/>
      <c r="B337" s="596"/>
      <c r="C337" s="596"/>
      <c r="D337" s="596"/>
      <c r="E337" s="596"/>
      <c r="F337" s="609"/>
    </row>
    <row r="338" spans="1:6" ht="15" customHeight="1" x14ac:dyDescent="0.25">
      <c r="A338" s="596"/>
      <c r="B338" s="596"/>
      <c r="C338" s="596"/>
      <c r="D338" s="596"/>
      <c r="E338" s="774" t="s">
        <v>492</v>
      </c>
      <c r="F338" s="774"/>
    </row>
    <row r="339" spans="1:6" ht="15" customHeight="1" x14ac:dyDescent="0.25">
      <c r="A339" s="596"/>
      <c r="B339" s="596"/>
      <c r="C339" s="596"/>
      <c r="D339" s="598"/>
      <c r="E339" s="773" t="s">
        <v>484</v>
      </c>
      <c r="F339" s="773"/>
    </row>
    <row r="340" spans="1:6" x14ac:dyDescent="0.25">
      <c r="A340" s="596"/>
      <c r="B340" s="596"/>
      <c r="C340" s="596"/>
      <c r="D340" s="596"/>
      <c r="E340" s="620"/>
      <c r="F340" s="621"/>
    </row>
    <row r="341" spans="1:6" x14ac:dyDescent="0.25">
      <c r="A341" s="596"/>
      <c r="B341" s="596"/>
      <c r="C341" s="596"/>
      <c r="D341" s="596"/>
      <c r="E341" s="621"/>
      <c r="F341" s="621"/>
    </row>
    <row r="342" spans="1:6" x14ac:dyDescent="0.25">
      <c r="A342" s="596"/>
      <c r="B342" s="596"/>
      <c r="C342" s="596"/>
      <c r="D342" s="596"/>
      <c r="E342" s="621"/>
      <c r="F342" s="621"/>
    </row>
    <row r="343" spans="1:6" x14ac:dyDescent="0.25">
      <c r="A343" s="596"/>
      <c r="B343" s="596"/>
      <c r="C343" s="596"/>
      <c r="D343" s="596"/>
      <c r="E343" s="621"/>
      <c r="F343" s="621"/>
    </row>
    <row r="344" spans="1:6" x14ac:dyDescent="0.25">
      <c r="A344" s="596"/>
      <c r="B344" s="596"/>
      <c r="C344" s="596"/>
      <c r="D344" s="596"/>
      <c r="E344" s="621"/>
      <c r="F344" s="621"/>
    </row>
    <row r="345" spans="1:6" x14ac:dyDescent="0.25">
      <c r="A345" s="596"/>
      <c r="B345" s="596"/>
      <c r="C345" s="596"/>
      <c r="D345" s="596"/>
      <c r="E345" s="621"/>
      <c r="F345" s="621"/>
    </row>
    <row r="346" spans="1:6" x14ac:dyDescent="0.25">
      <c r="A346" s="596"/>
      <c r="B346" s="596"/>
      <c r="C346" s="596"/>
      <c r="D346" s="596"/>
      <c r="E346" s="621"/>
      <c r="F346" s="621"/>
    </row>
    <row r="347" spans="1:6" ht="15" customHeight="1" x14ac:dyDescent="0.25">
      <c r="A347" s="596"/>
      <c r="B347" s="596"/>
      <c r="C347" s="596"/>
      <c r="D347" s="596"/>
      <c r="E347" s="774" t="s">
        <v>493</v>
      </c>
      <c r="F347" s="774"/>
    </row>
    <row r="348" spans="1:6" x14ac:dyDescent="0.25">
      <c r="A348" s="596"/>
      <c r="B348" s="596"/>
      <c r="C348" s="596"/>
      <c r="D348" s="609"/>
      <c r="E348" s="773" t="s">
        <v>486</v>
      </c>
      <c r="F348" s="773"/>
    </row>
    <row r="349" spans="1:6" x14ac:dyDescent="0.25">
      <c r="A349" s="596"/>
      <c r="B349" s="596"/>
      <c r="C349" s="596"/>
      <c r="D349" s="622"/>
      <c r="E349" s="596"/>
      <c r="F349" s="609"/>
    </row>
  </sheetData>
  <mergeCells count="49">
    <mergeCell ref="A277:E277"/>
    <mergeCell ref="A287:E287"/>
    <mergeCell ref="A297:E297"/>
    <mergeCell ref="B306:C306"/>
    <mergeCell ref="E348:F348"/>
    <mergeCell ref="A313:E313"/>
    <mergeCell ref="A314:D314"/>
    <mergeCell ref="B315:D315"/>
    <mergeCell ref="A318:C318"/>
    <mergeCell ref="E338:F338"/>
    <mergeCell ref="E347:F347"/>
    <mergeCell ref="E339:F339"/>
    <mergeCell ref="A319:C319"/>
    <mergeCell ref="A320:B320"/>
    <mergeCell ref="A309:E309"/>
    <mergeCell ref="B310:D310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C5:E5"/>
    <mergeCell ref="A87:F87"/>
    <mergeCell ref="A258:E258"/>
    <mergeCell ref="A231:E231"/>
    <mergeCell ref="A242:E242"/>
    <mergeCell ref="A238:E238"/>
    <mergeCell ref="A224:C224"/>
    <mergeCell ref="A210:E210"/>
    <mergeCell ref="A158:E158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A112:E112"/>
    <mergeCell ref="A119:C119"/>
    <mergeCell ref="A124:E124"/>
    <mergeCell ref="A151:E151"/>
    <mergeCell ref="A171:E17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I19" sqref="I19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491" t="s">
        <v>0</v>
      </c>
      <c r="B1" s="492"/>
      <c r="C1" s="742" t="s">
        <v>1</v>
      </c>
      <c r="D1" s="743"/>
      <c r="E1" s="744"/>
      <c r="F1" s="493"/>
    </row>
    <row r="2" spans="1:7" ht="12.75" x14ac:dyDescent="0.2">
      <c r="A2" s="491" t="str">
        <f>CONCATENATE("COMUNA: ",[10]NOMBRE!B2," - ","( ",[10]NOMBRE!C2,[10]NOMBRE!D2,[10]NOMBRE!E2,[10]NOMBRE!F2,[10]NOMBRE!G2," )")</f>
        <v>COMUNA: Linares - ( 07401 )</v>
      </c>
      <c r="B2" s="492"/>
      <c r="C2" s="739"/>
      <c r="D2" s="740"/>
      <c r="E2" s="741"/>
      <c r="F2" s="494"/>
      <c r="G2" s="495"/>
    </row>
    <row r="3" spans="1:7" ht="12.75" x14ac:dyDescent="0.2">
      <c r="A3" s="491" t="str">
        <f>CONCATENATE("ESTABLECIMIENTO/ESTRATEGIA: ",[10]NOMBRE!B3," - ","( ",[10]NOMBRE!C3,[10]NOMBRE!D3,[10]NOMBRE!E3,[10]NOMBRE!F3,[10]NOMBRE!G3,[10]NOMBRE!H3," )")</f>
        <v>ESTABLECIMIENTO/ESTRATEGIA: Hospital Presidente Carlos Ibáñez del Campo - ( 116108 )</v>
      </c>
      <c r="B3" s="492"/>
      <c r="C3" s="742" t="s">
        <v>2</v>
      </c>
      <c r="D3" s="743"/>
      <c r="E3" s="744"/>
      <c r="F3" s="494"/>
      <c r="G3" s="496"/>
    </row>
    <row r="4" spans="1:7" ht="12.75" x14ac:dyDescent="0.2">
      <c r="A4" s="491" t="str">
        <f>CONCATENATE("MES: ",[10]NOMBRE!B6," - ","( ",[10]NOMBRE!C6,[10]NOMBRE!D6," )")</f>
        <v>MES: NOVIEMBRE - ( 11 )</v>
      </c>
      <c r="B4" s="492"/>
      <c r="C4" s="739" t="str">
        <f>CONCATENATE([10]NOMBRE!B6," ","( ",[10]NOMBRE!C6,[10]NOMBRE!D6," )")</f>
        <v>NOVIEMBRE ( 11 )</v>
      </c>
      <c r="D4" s="740"/>
      <c r="E4" s="741"/>
      <c r="F4" s="494"/>
      <c r="G4" s="496"/>
    </row>
    <row r="5" spans="1:7" ht="12.75" x14ac:dyDescent="0.2">
      <c r="A5" s="491" t="str">
        <f>CONCATENATE("AÑO: ",[10]NOMBRE!B7)</f>
        <v>AÑO: 2015</v>
      </c>
      <c r="B5" s="492"/>
      <c r="C5" s="742" t="s">
        <v>3</v>
      </c>
      <c r="D5" s="743"/>
      <c r="E5" s="744"/>
      <c r="F5" s="494"/>
      <c r="G5" s="496"/>
    </row>
    <row r="6" spans="1:7" ht="12.75" x14ac:dyDescent="0.2">
      <c r="A6" s="497"/>
      <c r="B6" s="497"/>
      <c r="C6" s="739">
        <f>[10]NOMBRE!B7</f>
        <v>2015</v>
      </c>
      <c r="D6" s="740"/>
      <c r="E6" s="741"/>
      <c r="F6" s="494"/>
      <c r="G6" s="496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494"/>
      <c r="G7" s="496"/>
    </row>
    <row r="8" spans="1:7" ht="15" x14ac:dyDescent="0.2">
      <c r="A8" s="497"/>
      <c r="B8" s="718" t="s">
        <v>6</v>
      </c>
      <c r="C8" s="739" t="str">
        <f>CONCATENATE([10]NOMBRE!B3," ","( ",[10]NOMBRE!C3,[10]NOMBRE!D3,[10]NOMBRE!E3,[10]NOMBRE!F3,[10]NOMBRE!G3," )")</f>
        <v>Hospital Presidente Carlos Ibáñez del Campo ( 11610 )</v>
      </c>
      <c r="D8" s="740"/>
      <c r="E8" s="741"/>
      <c r="F8" s="494"/>
      <c r="G8" s="496"/>
    </row>
    <row r="9" spans="1:7" ht="12.75" x14ac:dyDescent="0.2">
      <c r="A9" s="497"/>
      <c r="B9" s="497"/>
      <c r="C9" s="497"/>
      <c r="D9" s="497"/>
      <c r="E9" s="497"/>
      <c r="F9" s="494"/>
      <c r="G9" s="496"/>
    </row>
    <row r="10" spans="1:7" ht="12.75" x14ac:dyDescent="0.2">
      <c r="A10" s="497"/>
      <c r="B10" s="497"/>
      <c r="C10" s="497"/>
      <c r="D10" s="497"/>
      <c r="E10" s="497"/>
      <c r="F10" s="494"/>
      <c r="G10" s="498"/>
    </row>
    <row r="11" spans="1:7" ht="12.75" x14ac:dyDescent="0.2">
      <c r="A11" s="753" t="s">
        <v>7</v>
      </c>
      <c r="B11" s="754"/>
      <c r="C11" s="754"/>
      <c r="D11" s="754"/>
      <c r="E11" s="755"/>
      <c r="F11" s="494"/>
    </row>
    <row r="12" spans="1:7" ht="43.5" customHeight="1" x14ac:dyDescent="0.2">
      <c r="A12" s="499" t="s">
        <v>8</v>
      </c>
      <c r="B12" s="499" t="s">
        <v>9</v>
      </c>
      <c r="C12" s="500" t="s">
        <v>10</v>
      </c>
      <c r="D12" s="545" t="s">
        <v>11</v>
      </c>
      <c r="E12" s="501" t="s">
        <v>12</v>
      </c>
      <c r="F12" s="497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497"/>
    </row>
    <row r="14" spans="1:7" ht="15" customHeight="1" x14ac:dyDescent="0.2">
      <c r="A14" s="668" t="s">
        <v>14</v>
      </c>
      <c r="B14" s="677" t="s">
        <v>15</v>
      </c>
      <c r="C14" s="614">
        <f>[10]BS17A!$D13</f>
        <v>0</v>
      </c>
      <c r="D14" s="502">
        <f>[10]BS17A!$U13</f>
        <v>4300</v>
      </c>
      <c r="E14" s="503">
        <f>[10]BS17A!$V13</f>
        <v>0</v>
      </c>
      <c r="F14" s="497"/>
    </row>
    <row r="15" spans="1:7" ht="15" customHeight="1" x14ac:dyDescent="0.2">
      <c r="A15" s="669" t="s">
        <v>16</v>
      </c>
      <c r="B15" s="665" t="s">
        <v>17</v>
      </c>
      <c r="C15" s="614">
        <f>[10]BS17A!$D14</f>
        <v>0</v>
      </c>
      <c r="D15" s="505">
        <f>[10]BS17A!$U14</f>
        <v>5400</v>
      </c>
      <c r="E15" s="506">
        <f>[10]BS17A!$V14</f>
        <v>0</v>
      </c>
      <c r="F15" s="497"/>
    </row>
    <row r="16" spans="1:7" ht="15" customHeight="1" x14ac:dyDescent="0.2">
      <c r="A16" s="669" t="s">
        <v>18</v>
      </c>
      <c r="B16" s="665" t="s">
        <v>19</v>
      </c>
      <c r="C16" s="614">
        <f>[10]BS17A!$D15</f>
        <v>5726</v>
      </c>
      <c r="D16" s="505">
        <f>[10]BS17A!$U15</f>
        <v>11590</v>
      </c>
      <c r="E16" s="506">
        <f>[10]BS17A!$V15</f>
        <v>66364340</v>
      </c>
      <c r="F16" s="497"/>
    </row>
    <row r="17" spans="1:6" ht="15" customHeight="1" x14ac:dyDescent="0.2">
      <c r="A17" s="669" t="s">
        <v>20</v>
      </c>
      <c r="B17" s="665" t="s">
        <v>21</v>
      </c>
      <c r="C17" s="614">
        <f>[10]BS17A!$D16</f>
        <v>0</v>
      </c>
      <c r="D17" s="505">
        <f>[10]BS17A!$U16</f>
        <v>6920</v>
      </c>
      <c r="E17" s="506">
        <f>[10]BS17A!$V16</f>
        <v>0</v>
      </c>
      <c r="F17" s="497"/>
    </row>
    <row r="18" spans="1:6" ht="15" customHeight="1" x14ac:dyDescent="0.2">
      <c r="A18" s="669" t="s">
        <v>22</v>
      </c>
      <c r="B18" s="665" t="s">
        <v>23</v>
      </c>
      <c r="C18" s="614">
        <f>[10]BS17A!$D17</f>
        <v>0</v>
      </c>
      <c r="D18" s="505">
        <f>[10]BS17A!$U17</f>
        <v>7590</v>
      </c>
      <c r="E18" s="506">
        <f>[10]BS17A!$V17</f>
        <v>0</v>
      </c>
      <c r="F18" s="497"/>
    </row>
    <row r="19" spans="1:6" ht="33" customHeight="1" x14ac:dyDescent="0.2">
      <c r="A19" s="669" t="s">
        <v>24</v>
      </c>
      <c r="B19" s="717" t="s">
        <v>25</v>
      </c>
      <c r="C19" s="614">
        <f>[10]BS17A!$D20</f>
        <v>0</v>
      </c>
      <c r="D19" s="505">
        <f>[10]BS17A!$U20</f>
        <v>5860</v>
      </c>
      <c r="E19" s="506">
        <f>[10]BS17A!$V20</f>
        <v>0</v>
      </c>
      <c r="F19" s="497"/>
    </row>
    <row r="20" spans="1:6" ht="42.75" customHeight="1" x14ac:dyDescent="0.2">
      <c r="A20" s="669" t="s">
        <v>26</v>
      </c>
      <c r="B20" s="717" t="s">
        <v>27</v>
      </c>
      <c r="C20" s="614">
        <f>[10]BS17A!$D21</f>
        <v>0</v>
      </c>
      <c r="D20" s="505">
        <f>[10]BS17A!$U21</f>
        <v>7020</v>
      </c>
      <c r="E20" s="506">
        <f>[10]BS17A!$V21</f>
        <v>0</v>
      </c>
      <c r="F20" s="497"/>
    </row>
    <row r="21" spans="1:6" ht="42.75" customHeight="1" x14ac:dyDescent="0.2">
      <c r="A21" s="669" t="s">
        <v>28</v>
      </c>
      <c r="B21" s="717" t="s">
        <v>29</v>
      </c>
      <c r="C21" s="614">
        <f>[10]BS17A!$D22</f>
        <v>0</v>
      </c>
      <c r="D21" s="505">
        <f>[10]BS17A!$U22</f>
        <v>8710</v>
      </c>
      <c r="E21" s="506">
        <f>[10]BS17A!$V22</f>
        <v>0</v>
      </c>
      <c r="F21" s="497"/>
    </row>
    <row r="22" spans="1:6" ht="32.25" customHeight="1" x14ac:dyDescent="0.2">
      <c r="A22" s="669" t="s">
        <v>30</v>
      </c>
      <c r="B22" s="717" t="s">
        <v>31</v>
      </c>
      <c r="C22" s="614">
        <f>[10]BS17A!$D23</f>
        <v>2499</v>
      </c>
      <c r="D22" s="505">
        <f>[10]BS17A!$U23</f>
        <v>5860</v>
      </c>
      <c r="E22" s="506">
        <f>[10]BS17A!$V23</f>
        <v>14644140</v>
      </c>
      <c r="F22" s="497"/>
    </row>
    <row r="23" spans="1:6" ht="40.5" customHeight="1" x14ac:dyDescent="0.2">
      <c r="A23" s="669" t="s">
        <v>32</v>
      </c>
      <c r="B23" s="717" t="s">
        <v>33</v>
      </c>
      <c r="C23" s="614">
        <f>[10]BS17A!$D24</f>
        <v>1875</v>
      </c>
      <c r="D23" s="505">
        <f>[10]BS17A!$U24</f>
        <v>7020</v>
      </c>
      <c r="E23" s="506">
        <f>[10]BS17A!$V24</f>
        <v>13162500</v>
      </c>
      <c r="F23" s="497"/>
    </row>
    <row r="24" spans="1:6" ht="27" customHeight="1" x14ac:dyDescent="0.2">
      <c r="A24" s="669" t="s">
        <v>34</v>
      </c>
      <c r="B24" s="717" t="s">
        <v>35</v>
      </c>
      <c r="C24" s="614">
        <f>[10]BS17A!$D25</f>
        <v>2469</v>
      </c>
      <c r="D24" s="505">
        <f>[10]BS17A!$U25</f>
        <v>8710</v>
      </c>
      <c r="E24" s="506">
        <f>[10]BS17A!$V25</f>
        <v>21504990</v>
      </c>
      <c r="F24" s="497"/>
    </row>
    <row r="25" spans="1:6" ht="15" customHeight="1" x14ac:dyDescent="0.2">
      <c r="A25" s="669" t="s">
        <v>36</v>
      </c>
      <c r="B25" s="664" t="s">
        <v>37</v>
      </c>
      <c r="C25" s="614">
        <f>+[10]BS17A!$D795</f>
        <v>319</v>
      </c>
      <c r="D25" s="505">
        <f>+[10]BS17A!$U795</f>
        <v>7110</v>
      </c>
      <c r="E25" s="506">
        <f>+[10]BS17A!$V795</f>
        <v>2268090</v>
      </c>
      <c r="F25" s="497"/>
    </row>
    <row r="26" spans="1:6" ht="15" customHeight="1" x14ac:dyDescent="0.2">
      <c r="A26" s="670" t="s">
        <v>38</v>
      </c>
      <c r="B26" s="684" t="s">
        <v>39</v>
      </c>
      <c r="C26" s="629">
        <f>+[10]BS17A!$D800</f>
        <v>0</v>
      </c>
      <c r="D26" s="507">
        <f>+[10]BS17A!$U800</f>
        <v>29440</v>
      </c>
      <c r="E26" s="508">
        <f>+[10]BS17A!$V800</f>
        <v>0</v>
      </c>
      <c r="F26" s="497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497"/>
    </row>
    <row r="28" spans="1:6" ht="15" customHeight="1" x14ac:dyDescent="0.2">
      <c r="A28" s="668" t="s">
        <v>41</v>
      </c>
      <c r="B28" s="677" t="s">
        <v>42</v>
      </c>
      <c r="C28" s="617">
        <f>[10]BS17A!$D27</f>
        <v>1860</v>
      </c>
      <c r="D28" s="502">
        <f>[10]BS17A!$U27</f>
        <v>1140</v>
      </c>
      <c r="E28" s="503">
        <f>[10]BS17A!$V27</f>
        <v>2120400</v>
      </c>
      <c r="F28" s="497"/>
    </row>
    <row r="29" spans="1:6" ht="15" customHeight="1" x14ac:dyDescent="0.2">
      <c r="A29" s="669" t="s">
        <v>43</v>
      </c>
      <c r="B29" s="683" t="s">
        <v>44</v>
      </c>
      <c r="C29" s="614">
        <f>[10]BS17A!$D28</f>
        <v>0</v>
      </c>
      <c r="D29" s="505">
        <f>[10]BS17A!$U28</f>
        <v>1960</v>
      </c>
      <c r="E29" s="506">
        <f>[10]BS17A!$V28</f>
        <v>0</v>
      </c>
      <c r="F29" s="497"/>
    </row>
    <row r="30" spans="1:6" ht="15" customHeight="1" x14ac:dyDescent="0.2">
      <c r="A30" s="669" t="s">
        <v>45</v>
      </c>
      <c r="B30" s="665" t="s">
        <v>46</v>
      </c>
      <c r="C30" s="614">
        <f>[10]BS17A!$D29</f>
        <v>0</v>
      </c>
      <c r="D30" s="505">
        <f>[10]BS17A!$U29</f>
        <v>630</v>
      </c>
      <c r="E30" s="506">
        <f>[10]BS17A!$V29</f>
        <v>0</v>
      </c>
      <c r="F30" s="497"/>
    </row>
    <row r="31" spans="1:6" ht="15" customHeight="1" x14ac:dyDescent="0.2">
      <c r="A31" s="669" t="s">
        <v>47</v>
      </c>
      <c r="B31" s="665" t="s">
        <v>48</v>
      </c>
      <c r="C31" s="614">
        <f>[10]BS17A!$D30</f>
        <v>129</v>
      </c>
      <c r="D31" s="505">
        <f>[10]BS17A!$U30</f>
        <v>1550</v>
      </c>
      <c r="E31" s="506">
        <f>[10]BS17A!$V30</f>
        <v>199950</v>
      </c>
      <c r="F31" s="497"/>
    </row>
    <row r="32" spans="1:6" ht="15" customHeight="1" x14ac:dyDescent="0.2">
      <c r="A32" s="669" t="s">
        <v>49</v>
      </c>
      <c r="B32" s="665" t="s">
        <v>50</v>
      </c>
      <c r="C32" s="614">
        <f>[10]BS17A!$D31</f>
        <v>1421</v>
      </c>
      <c r="D32" s="505">
        <f>[10]BS17A!$U31</f>
        <v>1250</v>
      </c>
      <c r="E32" s="506">
        <f>[10]BS17A!$V31</f>
        <v>1776250</v>
      </c>
      <c r="F32" s="497"/>
    </row>
    <row r="33" spans="1:6" ht="15" customHeight="1" x14ac:dyDescent="0.2">
      <c r="A33" s="669" t="s">
        <v>51</v>
      </c>
      <c r="B33" s="683" t="s">
        <v>52</v>
      </c>
      <c r="C33" s="614">
        <f>[10]BS17A!$D32</f>
        <v>0</v>
      </c>
      <c r="D33" s="505">
        <f>[10]BS17A!$U32</f>
        <v>1140</v>
      </c>
      <c r="E33" s="506">
        <f>[10]BS17A!$V32</f>
        <v>0</v>
      </c>
      <c r="F33" s="497"/>
    </row>
    <row r="34" spans="1:6" ht="15" customHeight="1" x14ac:dyDescent="0.2">
      <c r="A34" s="669" t="s">
        <v>53</v>
      </c>
      <c r="B34" s="665" t="s">
        <v>54</v>
      </c>
      <c r="C34" s="614">
        <f>+[10]BS17A!$D796</f>
        <v>257</v>
      </c>
      <c r="D34" s="505">
        <f>+[10]BS17A!$U796</f>
        <v>2780</v>
      </c>
      <c r="E34" s="506">
        <f>+[10]BS17A!$V796</f>
        <v>714460</v>
      </c>
      <c r="F34" s="497"/>
    </row>
    <row r="35" spans="1:6" ht="15" customHeight="1" x14ac:dyDescent="0.2">
      <c r="A35" s="669" t="s">
        <v>55</v>
      </c>
      <c r="B35" s="683" t="s">
        <v>56</v>
      </c>
      <c r="C35" s="614">
        <f>+[10]BS17A!$D797</f>
        <v>596</v>
      </c>
      <c r="D35" s="505">
        <f>+[10]BS17A!$U797</f>
        <v>2780</v>
      </c>
      <c r="E35" s="506">
        <f>+[10]BS17A!$V797</f>
        <v>1656880</v>
      </c>
      <c r="F35" s="497"/>
    </row>
    <row r="36" spans="1:6" ht="15" customHeight="1" x14ac:dyDescent="0.2">
      <c r="A36" s="669" t="s">
        <v>57</v>
      </c>
      <c r="B36" s="683" t="s">
        <v>58</v>
      </c>
      <c r="C36" s="614">
        <f>+[10]BS17A!$D798</f>
        <v>6</v>
      </c>
      <c r="D36" s="505">
        <f>+[10]BS17A!$U798</f>
        <v>11080</v>
      </c>
      <c r="E36" s="506">
        <f>+[10]BS17A!$V798</f>
        <v>66480</v>
      </c>
      <c r="F36" s="497"/>
    </row>
    <row r="37" spans="1:6" ht="15" customHeight="1" x14ac:dyDescent="0.2">
      <c r="A37" s="670" t="s">
        <v>59</v>
      </c>
      <c r="B37" s="716" t="s">
        <v>60</v>
      </c>
      <c r="C37" s="629">
        <f>+[10]BS17A!$D799</f>
        <v>48</v>
      </c>
      <c r="D37" s="507">
        <f>+[10]BS17A!$U799</f>
        <v>12980</v>
      </c>
      <c r="E37" s="508">
        <f>+[10]BS17A!$V799</f>
        <v>623040</v>
      </c>
      <c r="F37" s="497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497"/>
    </row>
    <row r="39" spans="1:6" ht="15" customHeight="1" x14ac:dyDescent="0.2">
      <c r="A39" s="668" t="s">
        <v>62</v>
      </c>
      <c r="B39" s="663" t="s">
        <v>63</v>
      </c>
      <c r="C39" s="617">
        <f>+[10]BS17A!$D801</f>
        <v>0</v>
      </c>
      <c r="D39" s="510">
        <f>+[10]BS17A!$U801</f>
        <v>3657</v>
      </c>
      <c r="E39" s="511">
        <f>+[10]BS17A!$V801</f>
        <v>0</v>
      </c>
      <c r="F39" s="497"/>
    </row>
    <row r="40" spans="1:6" ht="15" customHeight="1" x14ac:dyDescent="0.2">
      <c r="A40" s="670" t="s">
        <v>64</v>
      </c>
      <c r="B40" s="678" t="s">
        <v>65</v>
      </c>
      <c r="C40" s="629">
        <f>+[10]BS17A!$D802</f>
        <v>0</v>
      </c>
      <c r="D40" s="512">
        <f>+[10]BS17A!$U802</f>
        <v>9455</v>
      </c>
      <c r="E40" s="513">
        <f>+[10]BS17A!$V802</f>
        <v>0</v>
      </c>
      <c r="F40" s="497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497"/>
    </row>
    <row r="42" spans="1:6" ht="15" customHeight="1" x14ac:dyDescent="0.2">
      <c r="A42" s="668" t="s">
        <v>67</v>
      </c>
      <c r="B42" s="685" t="s">
        <v>68</v>
      </c>
      <c r="C42" s="617">
        <f>+[10]BS17A!$D34</f>
        <v>51</v>
      </c>
      <c r="D42" s="510">
        <f>+[10]BS17A!$U34</f>
        <v>3750</v>
      </c>
      <c r="E42" s="511">
        <f>+[10]BS17A!$V34</f>
        <v>191250</v>
      </c>
      <c r="F42" s="497"/>
    </row>
    <row r="43" spans="1:6" ht="15" customHeight="1" x14ac:dyDescent="0.2">
      <c r="A43" s="669" t="s">
        <v>69</v>
      </c>
      <c r="B43" s="665" t="s">
        <v>70</v>
      </c>
      <c r="C43" s="614">
        <f>+[10]BS17A!$D35</f>
        <v>300</v>
      </c>
      <c r="D43" s="505">
        <f>+[10]BS17A!$U35</f>
        <v>2060</v>
      </c>
      <c r="E43" s="506">
        <f>+[10]BS17A!$V35</f>
        <v>618000</v>
      </c>
      <c r="F43" s="497"/>
    </row>
    <row r="44" spans="1:6" ht="15" customHeight="1" x14ac:dyDescent="0.2">
      <c r="A44" s="669" t="s">
        <v>71</v>
      </c>
      <c r="B44" s="665" t="s">
        <v>72</v>
      </c>
      <c r="C44" s="614">
        <f>+[10]BS17A!$D36</f>
        <v>40</v>
      </c>
      <c r="D44" s="505">
        <f>+[10]BS17A!$U36</f>
        <v>2060</v>
      </c>
      <c r="E44" s="506">
        <f>+[10]BS17A!$V36</f>
        <v>82400</v>
      </c>
      <c r="F44" s="497"/>
    </row>
    <row r="45" spans="1:6" ht="15" customHeight="1" x14ac:dyDescent="0.2">
      <c r="A45" s="670" t="s">
        <v>73</v>
      </c>
      <c r="B45" s="666" t="s">
        <v>74</v>
      </c>
      <c r="C45" s="629">
        <f>+[10]BS17A!$D37</f>
        <v>360</v>
      </c>
      <c r="D45" s="512">
        <f>+[10]BS17A!$U37</f>
        <v>630</v>
      </c>
      <c r="E45" s="513">
        <f>+[10]BS17A!$V37</f>
        <v>226800</v>
      </c>
      <c r="F45" s="497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497"/>
    </row>
    <row r="47" spans="1:6" ht="15" customHeight="1" x14ac:dyDescent="0.2">
      <c r="A47" s="668" t="s">
        <v>76</v>
      </c>
      <c r="B47" s="685" t="s">
        <v>77</v>
      </c>
      <c r="C47" s="617">
        <f>+[10]BS17A!$D39</f>
        <v>83</v>
      </c>
      <c r="D47" s="510">
        <f>+[10]BS17A!$U39</f>
        <v>1780</v>
      </c>
      <c r="E47" s="511">
        <f>+[10]BS17A!$V39</f>
        <v>147740</v>
      </c>
      <c r="F47" s="497"/>
    </row>
    <row r="48" spans="1:6" ht="15" customHeight="1" x14ac:dyDescent="0.2">
      <c r="A48" s="669" t="s">
        <v>78</v>
      </c>
      <c r="B48" s="665" t="s">
        <v>79</v>
      </c>
      <c r="C48" s="614">
        <f>+[10]BS17A!$D40</f>
        <v>48</v>
      </c>
      <c r="D48" s="505">
        <f>+[10]BS17A!$U40</f>
        <v>1780</v>
      </c>
      <c r="E48" s="506">
        <f>+[10]BS17A!$V40</f>
        <v>85440</v>
      </c>
      <c r="F48" s="497"/>
    </row>
    <row r="49" spans="1:7" ht="15" customHeight="1" x14ac:dyDescent="0.2">
      <c r="A49" s="670" t="s">
        <v>80</v>
      </c>
      <c r="B49" s="666" t="s">
        <v>81</v>
      </c>
      <c r="C49" s="629">
        <f>+[10]BS17A!$D41</f>
        <v>71</v>
      </c>
      <c r="D49" s="512">
        <f>+[10]BS17A!$U41</f>
        <v>1030</v>
      </c>
      <c r="E49" s="513">
        <f>+[10]BS17A!$V41</f>
        <v>73130</v>
      </c>
      <c r="F49" s="497"/>
    </row>
    <row r="50" spans="1:7" ht="18" customHeight="1" x14ac:dyDescent="0.2">
      <c r="A50" s="514"/>
      <c r="B50" s="645" t="s">
        <v>82</v>
      </c>
      <c r="C50" s="514">
        <f>SUM(C14:C49)</f>
        <v>18158</v>
      </c>
      <c r="D50" s="515"/>
      <c r="E50" s="516">
        <f>SUM(E14:E49)</f>
        <v>126526280</v>
      </c>
      <c r="F50" s="497"/>
    </row>
    <row r="51" spans="1:7" ht="18" customHeight="1" x14ac:dyDescent="0.2">
      <c r="A51" s="517"/>
      <c r="B51" s="517"/>
      <c r="C51" s="517"/>
      <c r="D51" s="518"/>
      <c r="E51" s="519"/>
      <c r="F51" s="497"/>
    </row>
    <row r="52" spans="1:7" ht="12.75" x14ac:dyDescent="0.2">
      <c r="A52" s="497"/>
      <c r="B52" s="497"/>
      <c r="C52" s="497"/>
      <c r="D52" s="497"/>
      <c r="E52" s="497"/>
      <c r="F52" s="520"/>
      <c r="G52" s="521"/>
    </row>
    <row r="53" spans="1:7" ht="12.75" x14ac:dyDescent="0.2">
      <c r="A53" s="759" t="s">
        <v>83</v>
      </c>
      <c r="B53" s="760"/>
      <c r="C53" s="760"/>
      <c r="D53" s="760"/>
      <c r="E53" s="761"/>
      <c r="F53" s="520"/>
      <c r="G53" s="521"/>
    </row>
    <row r="54" spans="1:7" ht="42.75" customHeight="1" x14ac:dyDescent="0.2">
      <c r="A54" s="499" t="s">
        <v>8</v>
      </c>
      <c r="B54" s="499" t="s">
        <v>84</v>
      </c>
      <c r="C54" s="500" t="s">
        <v>10</v>
      </c>
      <c r="D54" s="546"/>
      <c r="E54" s="501" t="s">
        <v>12</v>
      </c>
      <c r="F54" s="497"/>
    </row>
    <row r="55" spans="1:7" ht="18" customHeight="1" x14ac:dyDescent="0.2">
      <c r="A55" s="626" t="s">
        <v>85</v>
      </c>
      <c r="B55" s="706" t="s">
        <v>86</v>
      </c>
      <c r="C55" s="551">
        <f>+[10]BS17!$D12</f>
        <v>62213</v>
      </c>
      <c r="D55" s="523"/>
      <c r="E55" s="524">
        <f>+E56+E57+E58+E59+E60+E61+E65+E66+E67</f>
        <v>88274580</v>
      </c>
      <c r="F55" s="497"/>
    </row>
    <row r="56" spans="1:7" ht="15" customHeight="1" x14ac:dyDescent="0.2">
      <c r="A56" s="704" t="s">
        <v>87</v>
      </c>
      <c r="B56" s="677" t="s">
        <v>88</v>
      </c>
      <c r="C56" s="660">
        <f>+[10]BS17!$D13</f>
        <v>25241</v>
      </c>
      <c r="D56" s="525"/>
      <c r="E56" s="526">
        <f>+[10]BS17A!V83</f>
        <v>26172100</v>
      </c>
      <c r="F56" s="497"/>
    </row>
    <row r="57" spans="1:7" ht="15" customHeight="1" x14ac:dyDescent="0.2">
      <c r="A57" s="669" t="s">
        <v>89</v>
      </c>
      <c r="B57" s="664" t="s">
        <v>90</v>
      </c>
      <c r="C57" s="614">
        <f>+[10]BS17!$D14</f>
        <v>26376</v>
      </c>
      <c r="D57" s="528"/>
      <c r="E57" s="529">
        <f>+[10]BS17A!V174</f>
        <v>32647450</v>
      </c>
      <c r="F57" s="497"/>
    </row>
    <row r="58" spans="1:7" ht="15" customHeight="1" x14ac:dyDescent="0.2">
      <c r="A58" s="669" t="s">
        <v>91</v>
      </c>
      <c r="B58" s="664" t="s">
        <v>92</v>
      </c>
      <c r="C58" s="614">
        <f>+[10]BS17!$D15</f>
        <v>1209</v>
      </c>
      <c r="D58" s="528"/>
      <c r="E58" s="529">
        <f>+[10]BS17A!V243</f>
        <v>4298910</v>
      </c>
      <c r="F58" s="497"/>
    </row>
    <row r="59" spans="1:7" ht="15" customHeight="1" x14ac:dyDescent="0.2">
      <c r="A59" s="669" t="s">
        <v>93</v>
      </c>
      <c r="B59" s="664" t="s">
        <v>94</v>
      </c>
      <c r="C59" s="614">
        <f>+[10]BS17!$D16</f>
        <v>0</v>
      </c>
      <c r="D59" s="528"/>
      <c r="E59" s="529">
        <f>+[10]BS17A!V289</f>
        <v>0</v>
      </c>
      <c r="F59" s="497"/>
    </row>
    <row r="60" spans="1:7" ht="15" customHeight="1" x14ac:dyDescent="0.2">
      <c r="A60" s="699" t="s">
        <v>95</v>
      </c>
      <c r="B60" s="684" t="s">
        <v>96</v>
      </c>
      <c r="C60" s="644">
        <f>+[10]BS17!$D17</f>
        <v>1546</v>
      </c>
      <c r="D60" s="530"/>
      <c r="E60" s="531">
        <f>+[10]BS17A!V295</f>
        <v>7531960</v>
      </c>
      <c r="F60" s="497"/>
    </row>
    <row r="61" spans="1:7" ht="15" customHeight="1" x14ac:dyDescent="0.2">
      <c r="A61" s="668" t="s">
        <v>97</v>
      </c>
      <c r="B61" s="707" t="s">
        <v>98</v>
      </c>
      <c r="C61" s="646">
        <f>+[10]BS17!$D18</f>
        <v>5153</v>
      </c>
      <c r="D61" s="532"/>
      <c r="E61" s="533">
        <f>SUM(E62:E64)</f>
        <v>14172290</v>
      </c>
      <c r="F61" s="497"/>
    </row>
    <row r="62" spans="1:7" ht="15" customHeight="1" x14ac:dyDescent="0.2">
      <c r="A62" s="710"/>
      <c r="B62" s="685" t="s">
        <v>99</v>
      </c>
      <c r="C62" s="617">
        <f>+[10]BS17!$D19</f>
        <v>3863</v>
      </c>
      <c r="D62" s="534"/>
      <c r="E62" s="535">
        <f>+[10]BS17A!V362</f>
        <v>8962280</v>
      </c>
      <c r="F62" s="497"/>
    </row>
    <row r="63" spans="1:7" ht="15" customHeight="1" x14ac:dyDescent="0.2">
      <c r="A63" s="710"/>
      <c r="B63" s="664" t="s">
        <v>100</v>
      </c>
      <c r="C63" s="614">
        <f>+[10]BS17!$D20</f>
        <v>72</v>
      </c>
      <c r="D63" s="528"/>
      <c r="E63" s="529">
        <f>+[10]BS17A!V405</f>
        <v>204370</v>
      </c>
      <c r="F63" s="497"/>
    </row>
    <row r="64" spans="1:7" ht="15" customHeight="1" x14ac:dyDescent="0.2">
      <c r="A64" s="711"/>
      <c r="B64" s="666" t="s">
        <v>101</v>
      </c>
      <c r="C64" s="629">
        <f>+[10]BS17!$D21</f>
        <v>1218</v>
      </c>
      <c r="D64" s="536"/>
      <c r="E64" s="537">
        <f>+[10]BS17A!V428</f>
        <v>5005640</v>
      </c>
      <c r="F64" s="497"/>
    </row>
    <row r="65" spans="1:7" ht="15" customHeight="1" x14ac:dyDescent="0.2">
      <c r="A65" s="704" t="s">
        <v>102</v>
      </c>
      <c r="B65" s="703" t="s">
        <v>103</v>
      </c>
      <c r="C65" s="660">
        <f>+[10]BS17!$D22</f>
        <v>0</v>
      </c>
      <c r="D65" s="525"/>
      <c r="E65" s="526">
        <f>+[10]BS17A!V446</f>
        <v>0</v>
      </c>
      <c r="F65" s="497"/>
    </row>
    <row r="66" spans="1:7" ht="15" customHeight="1" x14ac:dyDescent="0.2">
      <c r="A66" s="669" t="s">
        <v>104</v>
      </c>
      <c r="B66" s="664" t="s">
        <v>105</v>
      </c>
      <c r="C66" s="614">
        <f>+[10]BS17!$D23</f>
        <v>52</v>
      </c>
      <c r="D66" s="528"/>
      <c r="E66" s="529">
        <f>+[10]BS17A!V456</f>
        <v>116280</v>
      </c>
      <c r="F66" s="497"/>
    </row>
    <row r="67" spans="1:7" ht="15" customHeight="1" x14ac:dyDescent="0.2">
      <c r="A67" s="699" t="s">
        <v>106</v>
      </c>
      <c r="B67" s="684" t="s">
        <v>107</v>
      </c>
      <c r="C67" s="644">
        <f>+[10]BS17!$D24</f>
        <v>2636</v>
      </c>
      <c r="D67" s="530"/>
      <c r="E67" s="531">
        <f>+[10]BS17A!V500</f>
        <v>3335590</v>
      </c>
      <c r="F67" s="497"/>
    </row>
    <row r="68" spans="1:7" ht="15" customHeight="1" x14ac:dyDescent="0.2">
      <c r="A68" s="712" t="s">
        <v>108</v>
      </c>
      <c r="B68" s="702" t="s">
        <v>109</v>
      </c>
      <c r="C68" s="661">
        <f>+[10]BS17!$D25</f>
        <v>4744</v>
      </c>
      <c r="D68" s="538"/>
      <c r="E68" s="539">
        <f>SUM(E69:E74)</f>
        <v>81669270</v>
      </c>
      <c r="F68" s="497"/>
    </row>
    <row r="69" spans="1:7" ht="15" customHeight="1" x14ac:dyDescent="0.2">
      <c r="A69" s="669" t="s">
        <v>110</v>
      </c>
      <c r="B69" s="664" t="s">
        <v>111</v>
      </c>
      <c r="C69" s="614">
        <f>+[10]BS17!$D26</f>
        <v>3052</v>
      </c>
      <c r="D69" s="528"/>
      <c r="E69" s="529">
        <f>+[10]BS17A!V535</f>
        <v>24719880</v>
      </c>
      <c r="F69" s="497"/>
    </row>
    <row r="70" spans="1:7" ht="15" customHeight="1" x14ac:dyDescent="0.2">
      <c r="A70" s="669" t="s">
        <v>112</v>
      </c>
      <c r="B70" s="664" t="s">
        <v>113</v>
      </c>
      <c r="C70" s="614">
        <f>+[10]BS17!$D27</f>
        <v>2</v>
      </c>
      <c r="D70" s="528"/>
      <c r="E70" s="529">
        <f>+[10]BS17A!V590</f>
        <v>47980</v>
      </c>
      <c r="F70" s="497"/>
    </row>
    <row r="71" spans="1:7" ht="15" customHeight="1" x14ac:dyDescent="0.2">
      <c r="A71" s="669" t="s">
        <v>114</v>
      </c>
      <c r="B71" s="664" t="s">
        <v>115</v>
      </c>
      <c r="C71" s="614">
        <f>+[10]BS17!$D28</f>
        <v>871</v>
      </c>
      <c r="D71" s="528"/>
      <c r="E71" s="529">
        <f>+[10]BS17A!V615</f>
        <v>45010640</v>
      </c>
      <c r="F71" s="497"/>
    </row>
    <row r="72" spans="1:7" ht="15" customHeight="1" x14ac:dyDescent="0.2">
      <c r="A72" s="669" t="s">
        <v>116</v>
      </c>
      <c r="B72" s="664" t="s">
        <v>117</v>
      </c>
      <c r="C72" s="614">
        <f>+[10]BS17!$D30+[10]BS17!$D32</f>
        <v>691</v>
      </c>
      <c r="D72" s="528"/>
      <c r="E72" s="529">
        <f>+[10]BS17A!V633-[10]BS17A!V634</f>
        <v>11220050</v>
      </c>
      <c r="F72" s="497"/>
    </row>
    <row r="73" spans="1:7" ht="15" customHeight="1" x14ac:dyDescent="0.2">
      <c r="A73" s="713"/>
      <c r="B73" s="664" t="s">
        <v>118</v>
      </c>
      <c r="C73" s="614">
        <f>+[10]BS17!$D31</f>
        <v>128</v>
      </c>
      <c r="D73" s="528"/>
      <c r="E73" s="529">
        <f>+[10]BS17A!V634</f>
        <v>670720</v>
      </c>
      <c r="F73" s="497"/>
    </row>
    <row r="74" spans="1:7" ht="15" customHeight="1" x14ac:dyDescent="0.2">
      <c r="A74" s="714" t="s">
        <v>119</v>
      </c>
      <c r="B74" s="708" t="s">
        <v>120</v>
      </c>
      <c r="C74" s="651">
        <f>+[10]BS17!$D33</f>
        <v>0</v>
      </c>
      <c r="D74" s="623"/>
      <c r="E74" s="624">
        <f>+[10]BS17A!V654</f>
        <v>0</v>
      </c>
      <c r="F74" s="497"/>
    </row>
    <row r="75" spans="1:7" ht="15" customHeight="1" x14ac:dyDescent="0.2">
      <c r="A75" s="715" t="s">
        <v>121</v>
      </c>
      <c r="B75" s="709" t="s">
        <v>122</v>
      </c>
      <c r="C75" s="662">
        <f>+[10]BS17!$D34</f>
        <v>0</v>
      </c>
      <c r="D75" s="540"/>
      <c r="E75" s="541">
        <f>+[10]BS17A!V783</f>
        <v>0</v>
      </c>
      <c r="F75" s="497"/>
    </row>
    <row r="76" spans="1:7" ht="15" customHeight="1" x14ac:dyDescent="0.2">
      <c r="A76" s="671"/>
      <c r="B76" s="667" t="s">
        <v>123</v>
      </c>
      <c r="C76" s="551">
        <f>+C55+C68+C75</f>
        <v>66957</v>
      </c>
      <c r="D76" s="523"/>
      <c r="E76" s="543">
        <f>+E55+E68+E75</f>
        <v>169943850</v>
      </c>
      <c r="F76" s="497"/>
    </row>
    <row r="77" spans="1:7" ht="12.75" x14ac:dyDescent="0.2">
      <c r="A77" s="497"/>
      <c r="B77" s="497"/>
      <c r="C77" s="497"/>
      <c r="D77" s="497"/>
      <c r="E77" s="497"/>
      <c r="F77" s="520"/>
      <c r="G77" s="521"/>
    </row>
    <row r="78" spans="1:7" ht="12.75" x14ac:dyDescent="0.2">
      <c r="A78" s="497"/>
      <c r="B78" s="497"/>
      <c r="C78" s="497"/>
      <c r="D78" s="497"/>
      <c r="E78" s="497"/>
      <c r="F78" s="520"/>
      <c r="G78" s="521"/>
    </row>
    <row r="79" spans="1:7" ht="12.75" x14ac:dyDescent="0.2">
      <c r="A79" s="753" t="s">
        <v>124</v>
      </c>
      <c r="B79" s="754"/>
      <c r="C79" s="754"/>
      <c r="D79" s="754"/>
      <c r="E79" s="755"/>
      <c r="F79" s="520"/>
      <c r="G79" s="521"/>
    </row>
    <row r="80" spans="1:7" ht="45" customHeight="1" x14ac:dyDescent="0.2">
      <c r="A80" s="499" t="s">
        <v>8</v>
      </c>
      <c r="B80" s="625" t="s">
        <v>9</v>
      </c>
      <c r="C80" s="544" t="s">
        <v>10</v>
      </c>
      <c r="D80" s="546"/>
      <c r="E80" s="547" t="s">
        <v>12</v>
      </c>
      <c r="F80" s="520"/>
      <c r="G80" s="521"/>
    </row>
    <row r="81" spans="1:6" ht="15" customHeight="1" x14ac:dyDescent="0.2">
      <c r="A81" s="705" t="s">
        <v>125</v>
      </c>
      <c r="B81" s="677" t="s">
        <v>126</v>
      </c>
      <c r="C81" s="617">
        <f>+[10]BS17!D49</f>
        <v>0</v>
      </c>
      <c r="D81" s="525"/>
      <c r="E81" s="548">
        <f>+SUM([10]BS17A!V673+[10]BS17A!V719)</f>
        <v>0</v>
      </c>
      <c r="F81" s="497"/>
    </row>
    <row r="82" spans="1:6" ht="15" customHeight="1" x14ac:dyDescent="0.2">
      <c r="A82" s="691">
        <v>2001</v>
      </c>
      <c r="B82" s="664" t="s">
        <v>127</v>
      </c>
      <c r="C82" s="614">
        <f>+[10]BS17!E130</f>
        <v>1249</v>
      </c>
      <c r="D82" s="528"/>
      <c r="E82" s="549">
        <f>+[10]BS17A!V1574</f>
        <v>10215910</v>
      </c>
      <c r="F82" s="497"/>
    </row>
    <row r="83" spans="1:6" ht="15" customHeight="1" x14ac:dyDescent="0.2">
      <c r="A83" s="699" t="s">
        <v>128</v>
      </c>
      <c r="B83" s="684" t="s">
        <v>129</v>
      </c>
      <c r="C83" s="644">
        <f>+[10]BS17A!D1849</f>
        <v>34</v>
      </c>
      <c r="D83" s="530"/>
      <c r="E83" s="550">
        <f>+[10]BS17A!V1849</f>
        <v>2404760</v>
      </c>
      <c r="F83" s="497"/>
    </row>
    <row r="84" spans="1:6" ht="17.25" customHeight="1" x14ac:dyDescent="0.2">
      <c r="A84" s="671"/>
      <c r="B84" s="667" t="s">
        <v>130</v>
      </c>
      <c r="C84" s="551">
        <f>+SUM(C81:C83)</f>
        <v>1283</v>
      </c>
      <c r="D84" s="523"/>
      <c r="E84" s="552">
        <f>SUM(E81:E83)</f>
        <v>12620670</v>
      </c>
      <c r="F84" s="497"/>
    </row>
    <row r="85" spans="1:6" ht="12.75" x14ac:dyDescent="0.2">
      <c r="A85" s="497"/>
      <c r="B85" s="497"/>
      <c r="C85" s="497"/>
      <c r="D85" s="497"/>
      <c r="E85" s="497"/>
      <c r="F85" s="497"/>
    </row>
    <row r="86" spans="1:6" ht="12.75" x14ac:dyDescent="0.2">
      <c r="A86" s="497"/>
      <c r="B86" s="497"/>
      <c r="C86" s="497"/>
      <c r="D86" s="497"/>
      <c r="E86" s="497"/>
      <c r="F86" s="494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625" t="s">
        <v>132</v>
      </c>
      <c r="D89" s="628" t="s">
        <v>133</v>
      </c>
      <c r="E89" s="545" t="s">
        <v>134</v>
      </c>
      <c r="F89" s="501" t="s">
        <v>12</v>
      </c>
    </row>
    <row r="90" spans="1:6" ht="15" customHeight="1" x14ac:dyDescent="0.2">
      <c r="A90" s="668" t="s">
        <v>135</v>
      </c>
      <c r="B90" s="663" t="s">
        <v>136</v>
      </c>
      <c r="C90" s="654">
        <f>+[10]BS17!F68</f>
        <v>0</v>
      </c>
      <c r="D90" s="553">
        <f>+[10]BS17!G68</f>
        <v>0</v>
      </c>
      <c r="E90" s="554">
        <f>+[10]BS17!H68</f>
        <v>0</v>
      </c>
      <c r="F90" s="555">
        <f>[10]BS17A!V811</f>
        <v>0</v>
      </c>
    </row>
    <row r="91" spans="1:6" ht="15" customHeight="1" x14ac:dyDescent="0.2">
      <c r="A91" s="669" t="s">
        <v>137</v>
      </c>
      <c r="B91" s="664" t="s">
        <v>138</v>
      </c>
      <c r="C91" s="655">
        <f>+[10]BS17!F69</f>
        <v>111</v>
      </c>
      <c r="D91" s="556">
        <f>+[10]BS17!G69</f>
        <v>2</v>
      </c>
      <c r="E91" s="557">
        <f>+[10]BS17!H69</f>
        <v>0</v>
      </c>
      <c r="F91" s="558">
        <f>[10]BS17A!V882</f>
        <v>24454815</v>
      </c>
    </row>
    <row r="92" spans="1:6" ht="15" customHeight="1" x14ac:dyDescent="0.2">
      <c r="A92" s="669" t="s">
        <v>139</v>
      </c>
      <c r="B92" s="664" t="s">
        <v>140</v>
      </c>
      <c r="C92" s="655">
        <f>+[10]BS17!F70</f>
        <v>21</v>
      </c>
      <c r="D92" s="556">
        <f>+[10]BS17!G70</f>
        <v>3</v>
      </c>
      <c r="E92" s="557">
        <f>+[10]BS17!H70</f>
        <v>0</v>
      </c>
      <c r="F92" s="558">
        <f>[10]BS17A!V961</f>
        <v>1935545</v>
      </c>
    </row>
    <row r="93" spans="1:6" ht="15" customHeight="1" x14ac:dyDescent="0.2">
      <c r="A93" s="669" t="s">
        <v>141</v>
      </c>
      <c r="B93" s="664" t="s">
        <v>142</v>
      </c>
      <c r="C93" s="655">
        <f>+[10]BS17!F71</f>
        <v>5</v>
      </c>
      <c r="D93" s="556">
        <f>+[10]BS17!G71</f>
        <v>0</v>
      </c>
      <c r="E93" s="557">
        <f>+[10]BS17!H71</f>
        <v>0</v>
      </c>
      <c r="F93" s="558">
        <f>[10]BS17A!V1037</f>
        <v>396800</v>
      </c>
    </row>
    <row r="94" spans="1:6" ht="15" customHeight="1" x14ac:dyDescent="0.2">
      <c r="A94" s="669" t="s">
        <v>143</v>
      </c>
      <c r="B94" s="664" t="s">
        <v>144</v>
      </c>
      <c r="C94" s="655">
        <f>+[10]BS17!F72</f>
        <v>51</v>
      </c>
      <c r="D94" s="556">
        <f>+[10]BS17!G72</f>
        <v>4</v>
      </c>
      <c r="E94" s="557">
        <f>+[10]BS17!H72</f>
        <v>0</v>
      </c>
      <c r="F94" s="558">
        <f>[10]BS17A!V1098</f>
        <v>3647370</v>
      </c>
    </row>
    <row r="95" spans="1:6" ht="15" customHeight="1" x14ac:dyDescent="0.2">
      <c r="A95" s="669" t="s">
        <v>145</v>
      </c>
      <c r="B95" s="664" t="s">
        <v>146</v>
      </c>
      <c r="C95" s="655">
        <f>+[10]BS17!F73</f>
        <v>69</v>
      </c>
      <c r="D95" s="556">
        <f>+[10]BS17!G73</f>
        <v>3</v>
      </c>
      <c r="E95" s="557">
        <f>+[10]BS17!H73</f>
        <v>0</v>
      </c>
      <c r="F95" s="558">
        <f>[10]BS17A!V1166</f>
        <v>1615780</v>
      </c>
    </row>
    <row r="96" spans="1:6" ht="15" customHeight="1" x14ac:dyDescent="0.2">
      <c r="A96" s="669" t="s">
        <v>147</v>
      </c>
      <c r="B96" s="664" t="s">
        <v>148</v>
      </c>
      <c r="C96" s="655">
        <f>+[10]BS17!F74</f>
        <v>3</v>
      </c>
      <c r="D96" s="556">
        <f>+[10]BS17!G74</f>
        <v>2</v>
      </c>
      <c r="E96" s="557">
        <f>+[10]BS17!H74</f>
        <v>0</v>
      </c>
      <c r="F96" s="558">
        <f>[10]BS17A!V1221</f>
        <v>721680</v>
      </c>
    </row>
    <row r="97" spans="1:6" ht="15" customHeight="1" x14ac:dyDescent="0.2">
      <c r="A97" s="669" t="s">
        <v>149</v>
      </c>
      <c r="B97" s="664" t="s">
        <v>150</v>
      </c>
      <c r="C97" s="655">
        <f>+[10]BS17!F75</f>
        <v>3</v>
      </c>
      <c r="D97" s="556">
        <f>+[10]BS17!G75</f>
        <v>1</v>
      </c>
      <c r="E97" s="557">
        <f>+[10]BS17!H75</f>
        <v>0</v>
      </c>
      <c r="F97" s="558">
        <f>[10]BS17A!V1287</f>
        <v>268780</v>
      </c>
    </row>
    <row r="98" spans="1:6" ht="15" customHeight="1" x14ac:dyDescent="0.2">
      <c r="A98" s="669" t="s">
        <v>151</v>
      </c>
      <c r="B98" s="664" t="s">
        <v>152</v>
      </c>
      <c r="C98" s="655">
        <f>+[10]BS17!F76</f>
        <v>154</v>
      </c>
      <c r="D98" s="556">
        <f>+[10]BS17!G76</f>
        <v>17</v>
      </c>
      <c r="E98" s="557">
        <f>+[10]BS17!H76</f>
        <v>1</v>
      </c>
      <c r="F98" s="558">
        <f>[10]BS17A!V1357</f>
        <v>38322167.5</v>
      </c>
    </row>
    <row r="99" spans="1:6" ht="15" customHeight="1" x14ac:dyDescent="0.2">
      <c r="A99" s="669" t="s">
        <v>153</v>
      </c>
      <c r="B99" s="664" t="s">
        <v>154</v>
      </c>
      <c r="C99" s="655">
        <f>+[10]BS17!F77</f>
        <v>8</v>
      </c>
      <c r="D99" s="556">
        <f>+[10]BS17!G77</f>
        <v>0</v>
      </c>
      <c r="E99" s="557">
        <f>+[10]BS17!H77</f>
        <v>0</v>
      </c>
      <c r="F99" s="558">
        <f>[10]BS17A!V1441</f>
        <v>754410</v>
      </c>
    </row>
    <row r="100" spans="1:6" ht="15" customHeight="1" x14ac:dyDescent="0.2">
      <c r="A100" s="669" t="s">
        <v>155</v>
      </c>
      <c r="B100" s="664" t="s">
        <v>156</v>
      </c>
      <c r="C100" s="655">
        <f>+[10]BS17!F78</f>
        <v>44</v>
      </c>
      <c r="D100" s="556">
        <f>+[10]BS17!G78</f>
        <v>2</v>
      </c>
      <c r="E100" s="557">
        <f>+[10]BS17!H78</f>
        <v>1</v>
      </c>
      <c r="F100" s="558">
        <f>[10]BS17A!V1489</f>
        <v>9962065</v>
      </c>
    </row>
    <row r="101" spans="1:6" ht="15" customHeight="1" x14ac:dyDescent="0.2">
      <c r="A101" s="669" t="s">
        <v>157</v>
      </c>
      <c r="B101" s="664" t="s">
        <v>158</v>
      </c>
      <c r="C101" s="655">
        <f>+[10]BS17!F79</f>
        <v>8</v>
      </c>
      <c r="D101" s="556">
        <f>+[10]BS17!G79</f>
        <v>0</v>
      </c>
      <c r="E101" s="557">
        <f>+[10]BS17!H79</f>
        <v>0</v>
      </c>
      <c r="F101" s="558">
        <f>[10]BS17A!V1592</f>
        <v>1909450</v>
      </c>
    </row>
    <row r="102" spans="1:6" ht="15" customHeight="1" x14ac:dyDescent="0.2">
      <c r="A102" s="699" t="s">
        <v>159</v>
      </c>
      <c r="B102" s="684" t="s">
        <v>160</v>
      </c>
      <c r="C102" s="656">
        <f>+[10]BS17!F80</f>
        <v>37</v>
      </c>
      <c r="D102" s="559">
        <f>+[10]BS17!G80</f>
        <v>2</v>
      </c>
      <c r="E102" s="560">
        <f>+[10]BS17!H80</f>
        <v>1</v>
      </c>
      <c r="F102" s="561">
        <f>[10]BS17A!V1597</f>
        <v>6346297.5</v>
      </c>
    </row>
    <row r="103" spans="1:6" ht="15" customHeight="1" x14ac:dyDescent="0.2">
      <c r="A103" s="668" t="s">
        <v>161</v>
      </c>
      <c r="B103" s="663" t="s">
        <v>162</v>
      </c>
      <c r="C103" s="654">
        <f>+[10]BS17!F81</f>
        <v>70</v>
      </c>
      <c r="D103" s="553">
        <f>+[10]BS17!G81</f>
        <v>1</v>
      </c>
      <c r="E103" s="554">
        <f>+[10]BS17!H81</f>
        <v>0</v>
      </c>
      <c r="F103" s="555">
        <f>+[10]BS17A!V1631</f>
        <v>8569275</v>
      </c>
    </row>
    <row r="104" spans="1:6" ht="15" customHeight="1" x14ac:dyDescent="0.2">
      <c r="A104" s="669"/>
      <c r="B104" s="664" t="s">
        <v>163</v>
      </c>
      <c r="C104" s="655">
        <f>+[10]BS17A!D1635</f>
        <v>0</v>
      </c>
      <c r="D104" s="556">
        <f>+[10]BS17A!F1635</f>
        <v>0</v>
      </c>
      <c r="E104" s="557">
        <f>+[10]BS17A!G1635</f>
        <v>0</v>
      </c>
      <c r="F104" s="558">
        <f>+[10]BS17A!V1635</f>
        <v>0</v>
      </c>
    </row>
    <row r="105" spans="1:6" ht="15" customHeight="1" x14ac:dyDescent="0.2">
      <c r="A105" s="669"/>
      <c r="B105" s="664" t="s">
        <v>164</v>
      </c>
      <c r="C105" s="655">
        <f>+[10]BS17A!D1634</f>
        <v>46</v>
      </c>
      <c r="D105" s="556">
        <f>+[10]BS17A!F1634</f>
        <v>0</v>
      </c>
      <c r="E105" s="557">
        <f>+[10]BS17A!G1634</f>
        <v>0</v>
      </c>
      <c r="F105" s="558">
        <f>+[10]BS17A!V1634</f>
        <v>6109720</v>
      </c>
    </row>
    <row r="106" spans="1:6" ht="15" customHeight="1" x14ac:dyDescent="0.2">
      <c r="A106" s="670"/>
      <c r="B106" s="678" t="s">
        <v>165</v>
      </c>
      <c r="C106" s="657">
        <f>+[10]BS17A!D1632+[10]BS17A!D1633</f>
        <v>24</v>
      </c>
      <c r="D106" s="563">
        <f>+[10]BS17A!F1632+[10]BS17A!F1633</f>
        <v>1</v>
      </c>
      <c r="E106" s="564">
        <f>+[10]BS17A!G1632+[10]BS17A!G1633</f>
        <v>0</v>
      </c>
      <c r="F106" s="565">
        <f>+[10]BS17A!V1632+[10]BS17A!V1633</f>
        <v>2459555</v>
      </c>
    </row>
    <row r="107" spans="1:6" ht="15" customHeight="1" x14ac:dyDescent="0.2">
      <c r="A107" s="704" t="s">
        <v>166</v>
      </c>
      <c r="B107" s="703" t="s">
        <v>167</v>
      </c>
      <c r="C107" s="658">
        <f>+[10]BS17!F82</f>
        <v>56</v>
      </c>
      <c r="D107" s="566">
        <f>+[10]BS17!G82</f>
        <v>7</v>
      </c>
      <c r="E107" s="567">
        <f>+[10]BS17!H82</f>
        <v>0</v>
      </c>
      <c r="F107" s="568">
        <f>+[10]BS17A!V1639</f>
        <v>10311160</v>
      </c>
    </row>
    <row r="108" spans="1:6" ht="15" customHeight="1" x14ac:dyDescent="0.2">
      <c r="A108" s="700">
        <v>2106</v>
      </c>
      <c r="B108" s="678" t="s">
        <v>168</v>
      </c>
      <c r="C108" s="657">
        <f>[10]BS17A!D1845</f>
        <v>9</v>
      </c>
      <c r="D108" s="563">
        <f>[10]BS17A!F1845</f>
        <v>1</v>
      </c>
      <c r="E108" s="564">
        <f>[10]BS17A!G1845</f>
        <v>0</v>
      </c>
      <c r="F108" s="565">
        <f>+[10]BS17A!V1845</f>
        <v>583085</v>
      </c>
    </row>
    <row r="109" spans="1:6" ht="15" customHeight="1" x14ac:dyDescent="0.2">
      <c r="A109" s="676"/>
      <c r="B109" s="675" t="s">
        <v>169</v>
      </c>
      <c r="C109" s="659">
        <f>SUM(C90:C108)-C103</f>
        <v>649</v>
      </c>
      <c r="D109" s="570">
        <f>SUM(D90:D108)-D103</f>
        <v>45</v>
      </c>
      <c r="E109" s="571">
        <f>+SUM(E90:E103)+E107+E108</f>
        <v>3</v>
      </c>
      <c r="F109" s="572">
        <f>+SUM(F90:F103)+F107+F108</f>
        <v>109798680</v>
      </c>
    </row>
    <row r="110" spans="1:6" ht="12.75" x14ac:dyDescent="0.2">
      <c r="A110" s="497"/>
      <c r="B110" s="497"/>
      <c r="C110" s="497"/>
      <c r="D110" s="497"/>
      <c r="E110" s="497"/>
      <c r="F110" s="494"/>
    </row>
    <row r="111" spans="1:6" ht="12.75" x14ac:dyDescent="0.2">
      <c r="A111" s="497"/>
      <c r="B111" s="497"/>
      <c r="C111" s="497"/>
      <c r="D111" s="497"/>
      <c r="E111" s="497"/>
      <c r="F111" s="494"/>
    </row>
    <row r="112" spans="1:6" ht="12.75" x14ac:dyDescent="0.2">
      <c r="A112" s="753" t="s">
        <v>170</v>
      </c>
      <c r="B112" s="754"/>
      <c r="C112" s="754"/>
      <c r="D112" s="754"/>
      <c r="E112" s="755"/>
      <c r="F112" s="494"/>
    </row>
    <row r="113" spans="1:6" ht="49.5" customHeight="1" x14ac:dyDescent="0.2">
      <c r="A113" s="499" t="s">
        <v>8</v>
      </c>
      <c r="B113" s="499" t="s">
        <v>9</v>
      </c>
      <c r="C113" s="500" t="s">
        <v>10</v>
      </c>
      <c r="D113" s="545" t="s">
        <v>11</v>
      </c>
      <c r="E113" s="501" t="s">
        <v>12</v>
      </c>
      <c r="F113" s="494"/>
    </row>
    <row r="114" spans="1:6" ht="15" customHeight="1" x14ac:dyDescent="0.2">
      <c r="A114" s="668" t="s">
        <v>171</v>
      </c>
      <c r="B114" s="663" t="s">
        <v>172</v>
      </c>
      <c r="C114" s="617">
        <f>+[10]BS17A!D1636</f>
        <v>68</v>
      </c>
      <c r="D114" s="573">
        <f>+[10]BS17A!U1636</f>
        <v>132810</v>
      </c>
      <c r="E114" s="574">
        <f>+[10]BS17A!V1636</f>
        <v>9031080</v>
      </c>
      <c r="F114" s="497"/>
    </row>
    <row r="115" spans="1:6" ht="15" customHeight="1" x14ac:dyDescent="0.2">
      <c r="A115" s="670" t="s">
        <v>173</v>
      </c>
      <c r="B115" s="697" t="s">
        <v>174</v>
      </c>
      <c r="C115" s="644">
        <f>+[10]BS17A!D1637</f>
        <v>3</v>
      </c>
      <c r="D115" s="575">
        <f>+[10]BS17A!U1637</f>
        <v>139740</v>
      </c>
      <c r="E115" s="550">
        <f>+[10]BS17A!V1637</f>
        <v>419220</v>
      </c>
      <c r="F115" s="497"/>
    </row>
    <row r="116" spans="1:6" ht="15" customHeight="1" x14ac:dyDescent="0.2">
      <c r="A116" s="551"/>
      <c r="B116" s="627" t="s">
        <v>175</v>
      </c>
      <c r="C116" s="551">
        <f>SUM(C114:C115)</f>
        <v>71</v>
      </c>
      <c r="D116" s="523"/>
      <c r="E116" s="552">
        <f>SUM(E114:E115)</f>
        <v>9450300</v>
      </c>
      <c r="F116" s="497"/>
    </row>
    <row r="117" spans="1:6" ht="12.75" x14ac:dyDescent="0.2">
      <c r="A117" s="497"/>
      <c r="B117" s="497"/>
      <c r="C117" s="497"/>
      <c r="D117" s="497"/>
      <c r="E117" s="497"/>
      <c r="F117" s="497"/>
    </row>
    <row r="118" spans="1:6" ht="12.75" x14ac:dyDescent="0.2">
      <c r="A118" s="497"/>
      <c r="B118" s="497"/>
      <c r="C118" s="497"/>
      <c r="D118" s="497"/>
      <c r="E118" s="497"/>
      <c r="F118" s="494"/>
    </row>
    <row r="119" spans="1:6" ht="12.75" x14ac:dyDescent="0.2">
      <c r="A119" s="764" t="s">
        <v>176</v>
      </c>
      <c r="B119" s="764"/>
      <c r="C119" s="764"/>
      <c r="D119" s="497"/>
      <c r="E119" s="497"/>
      <c r="F119" s="494"/>
    </row>
    <row r="120" spans="1:6" ht="38.25" customHeight="1" x14ac:dyDescent="0.2">
      <c r="A120" s="499" t="s">
        <v>8</v>
      </c>
      <c r="B120" s="499" t="s">
        <v>10</v>
      </c>
      <c r="C120" s="499" t="s">
        <v>12</v>
      </c>
      <c r="D120" s="497"/>
      <c r="E120" s="497"/>
      <c r="F120" s="497"/>
    </row>
    <row r="121" spans="1:6" ht="15" customHeight="1" x14ac:dyDescent="0.2">
      <c r="A121" s="576" t="s">
        <v>177</v>
      </c>
      <c r="B121" s="577" t="s">
        <v>178</v>
      </c>
      <c r="C121" s="578">
        <f>+[10]BS17A!V1871+[10]BS17A!V1889+[10]BS17A!V1914</f>
        <v>14776960</v>
      </c>
      <c r="D121" s="497"/>
      <c r="E121" s="497"/>
      <c r="F121" s="497"/>
    </row>
    <row r="122" spans="1:6" ht="12.75" x14ac:dyDescent="0.2">
      <c r="A122" s="497"/>
      <c r="B122" s="497"/>
      <c r="C122" s="497"/>
      <c r="D122" s="497"/>
      <c r="E122" s="494"/>
      <c r="F122" s="497"/>
    </row>
    <row r="123" spans="1:6" ht="12.75" x14ac:dyDescent="0.2">
      <c r="A123" s="497"/>
      <c r="B123" s="497"/>
      <c r="C123" s="497"/>
      <c r="D123" s="497"/>
      <c r="E123" s="494"/>
      <c r="F123" s="497"/>
    </row>
    <row r="124" spans="1:6" ht="12.75" x14ac:dyDescent="0.2">
      <c r="A124" s="753" t="s">
        <v>179</v>
      </c>
      <c r="B124" s="754"/>
      <c r="C124" s="754"/>
      <c r="D124" s="754"/>
      <c r="E124" s="755"/>
      <c r="F124" s="494"/>
    </row>
    <row r="125" spans="1:6" ht="45.75" customHeight="1" x14ac:dyDescent="0.2">
      <c r="A125" s="499" t="s">
        <v>8</v>
      </c>
      <c r="B125" s="499" t="s">
        <v>9</v>
      </c>
      <c r="C125" s="500" t="s">
        <v>10</v>
      </c>
      <c r="D125" s="545" t="s">
        <v>11</v>
      </c>
      <c r="E125" s="501" t="s">
        <v>12</v>
      </c>
      <c r="F125" s="494"/>
    </row>
    <row r="126" spans="1:6" ht="15" customHeight="1" x14ac:dyDescent="0.2">
      <c r="A126" s="668" t="s">
        <v>180</v>
      </c>
      <c r="B126" s="685" t="s">
        <v>181</v>
      </c>
      <c r="C126" s="617">
        <f>+[10]BS17A!$D59</f>
        <v>0</v>
      </c>
      <c r="D126" s="510">
        <f>+[10]BS17A!$U59</f>
        <v>34010</v>
      </c>
      <c r="E126" s="579">
        <f>+[10]BS17A!$V59</f>
        <v>0</v>
      </c>
      <c r="F126" s="497"/>
    </row>
    <row r="127" spans="1:6" ht="15" customHeight="1" x14ac:dyDescent="0.2">
      <c r="A127" s="669" t="s">
        <v>182</v>
      </c>
      <c r="B127" s="665" t="s">
        <v>183</v>
      </c>
      <c r="C127" s="614">
        <f>+[10]BS17A!$D60</f>
        <v>0</v>
      </c>
      <c r="D127" s="505">
        <f>+[10]BS17A!$U60</f>
        <v>31310</v>
      </c>
      <c r="E127" s="580">
        <f>+[10]BS17A!$V60</f>
        <v>0</v>
      </c>
      <c r="F127" s="497"/>
    </row>
    <row r="128" spans="1:6" ht="15" customHeight="1" x14ac:dyDescent="0.2">
      <c r="A128" s="669" t="s">
        <v>184</v>
      </c>
      <c r="B128" s="665" t="s">
        <v>185</v>
      </c>
      <c r="C128" s="614">
        <f>+[10]BS17A!$D61</f>
        <v>0</v>
      </c>
      <c r="D128" s="505">
        <f>+[10]BS17A!$U61</f>
        <v>26100</v>
      </c>
      <c r="E128" s="580">
        <f>+[10]BS17A!$V61</f>
        <v>0</v>
      </c>
      <c r="F128" s="497"/>
    </row>
    <row r="129" spans="1:6" ht="15" customHeight="1" x14ac:dyDescent="0.2">
      <c r="A129" s="669" t="s">
        <v>186</v>
      </c>
      <c r="B129" s="665" t="s">
        <v>187</v>
      </c>
      <c r="C129" s="614">
        <f>SUM([10]BS17A!D62:D64)</f>
        <v>0</v>
      </c>
      <c r="D129" s="505">
        <f>+[10]BS17A!$U62</f>
        <v>141410</v>
      </c>
      <c r="E129" s="580">
        <f>SUM([10]BS17A!V62:V64)</f>
        <v>0</v>
      </c>
      <c r="F129" s="497"/>
    </row>
    <row r="130" spans="1:6" ht="15" customHeight="1" x14ac:dyDescent="0.2">
      <c r="A130" s="669" t="s">
        <v>188</v>
      </c>
      <c r="B130" s="665" t="s">
        <v>189</v>
      </c>
      <c r="C130" s="614">
        <f>SUM([10]BS17A!D65:D67)</f>
        <v>0</v>
      </c>
      <c r="D130" s="505">
        <f>+[10]BS17A!$U65</f>
        <v>68290</v>
      </c>
      <c r="E130" s="580">
        <f>SUM([10]BS17A!V65:V67)</f>
        <v>0</v>
      </c>
      <c r="F130" s="497"/>
    </row>
    <row r="131" spans="1:6" ht="15" customHeight="1" x14ac:dyDescent="0.2">
      <c r="A131" s="669" t="s">
        <v>190</v>
      </c>
      <c r="B131" s="665" t="s">
        <v>191</v>
      </c>
      <c r="C131" s="614">
        <f>+[10]BS17A!D68</f>
        <v>0</v>
      </c>
      <c r="D131" s="505">
        <f>+[10]BS17A!$U68</f>
        <v>61270</v>
      </c>
      <c r="E131" s="580">
        <f>+[10]BS17A!$V68</f>
        <v>0</v>
      </c>
      <c r="F131" s="497"/>
    </row>
    <row r="132" spans="1:6" ht="15" customHeight="1" x14ac:dyDescent="0.2">
      <c r="A132" s="669" t="s">
        <v>192</v>
      </c>
      <c r="B132" s="665" t="s">
        <v>193</v>
      </c>
      <c r="C132" s="614">
        <f>+[10]BS17A!$D69</f>
        <v>0</v>
      </c>
      <c r="D132" s="505">
        <f>+[10]BS17A!$U69</f>
        <v>17390</v>
      </c>
      <c r="E132" s="580">
        <f>+[10]BS17A!$V69</f>
        <v>0</v>
      </c>
      <c r="F132" s="497"/>
    </row>
    <row r="133" spans="1:6" ht="15" customHeight="1" x14ac:dyDescent="0.2">
      <c r="A133" s="669" t="s">
        <v>194</v>
      </c>
      <c r="B133" s="665" t="s">
        <v>195</v>
      </c>
      <c r="C133" s="614">
        <f>+[10]BS17A!$D70</f>
        <v>0</v>
      </c>
      <c r="D133" s="505">
        <f>+[10]BS17A!$U70</f>
        <v>27240</v>
      </c>
      <c r="E133" s="580">
        <f>+[10]BS17A!$V70</f>
        <v>0</v>
      </c>
      <c r="F133" s="497"/>
    </row>
    <row r="134" spans="1:6" ht="15" customHeight="1" x14ac:dyDescent="0.2">
      <c r="A134" s="669" t="s">
        <v>196</v>
      </c>
      <c r="B134" s="665" t="s">
        <v>197</v>
      </c>
      <c r="C134" s="614">
        <f>+[10]BS17A!$D73</f>
        <v>0</v>
      </c>
      <c r="D134" s="505">
        <f>+[10]BS17A!$U73</f>
        <v>27470</v>
      </c>
      <c r="E134" s="580">
        <f>+[10]BS17A!$V73</f>
        <v>0</v>
      </c>
      <c r="F134" s="497"/>
    </row>
    <row r="135" spans="1:6" ht="15" customHeight="1" x14ac:dyDescent="0.2">
      <c r="A135" s="669" t="s">
        <v>198</v>
      </c>
      <c r="B135" s="665" t="s">
        <v>199</v>
      </c>
      <c r="C135" s="614">
        <f>+[10]BS17A!$D71</f>
        <v>0</v>
      </c>
      <c r="D135" s="505">
        <f>+[10]BS17A!$U71</f>
        <v>28360</v>
      </c>
      <c r="E135" s="580">
        <f>+[10]BS17A!$V71</f>
        <v>0</v>
      </c>
      <c r="F135" s="497"/>
    </row>
    <row r="136" spans="1:6" ht="15" customHeight="1" x14ac:dyDescent="0.2">
      <c r="A136" s="669" t="s">
        <v>200</v>
      </c>
      <c r="B136" s="665" t="s">
        <v>201</v>
      </c>
      <c r="C136" s="614">
        <f>+[10]BS17A!$D76</f>
        <v>0</v>
      </c>
      <c r="D136" s="505">
        <f>+[10]BS17A!$U76</f>
        <v>34010</v>
      </c>
      <c r="E136" s="580">
        <f>+[10]BS17A!$V76</f>
        <v>0</v>
      </c>
      <c r="F136" s="497"/>
    </row>
    <row r="137" spans="1:6" ht="15" customHeight="1" x14ac:dyDescent="0.2">
      <c r="A137" s="669" t="s">
        <v>202</v>
      </c>
      <c r="B137" s="664" t="s">
        <v>203</v>
      </c>
      <c r="C137" s="614">
        <f>+[10]BS17A!$D79</f>
        <v>36</v>
      </c>
      <c r="D137" s="505">
        <f>+[10]BS17A!$U79</f>
        <v>6600</v>
      </c>
      <c r="E137" s="580">
        <f>+[10]BS17A!$V79</f>
        <v>237600</v>
      </c>
      <c r="F137" s="497"/>
    </row>
    <row r="138" spans="1:6" ht="15" customHeight="1" x14ac:dyDescent="0.2">
      <c r="A138" s="669" t="s">
        <v>204</v>
      </c>
      <c r="B138" s="664" t="s">
        <v>205</v>
      </c>
      <c r="C138" s="614">
        <f>+[10]BS17A!$D80</f>
        <v>0</v>
      </c>
      <c r="D138" s="505">
        <f>+[10]BS17A!$U80</f>
        <v>47670</v>
      </c>
      <c r="E138" s="580">
        <f>+[10]BS17A!$V80</f>
        <v>0</v>
      </c>
      <c r="F138" s="497"/>
    </row>
    <row r="139" spans="1:6" ht="15" customHeight="1" x14ac:dyDescent="0.2">
      <c r="A139" s="670"/>
      <c r="B139" s="701" t="s">
        <v>206</v>
      </c>
      <c r="C139" s="653">
        <f>SUM(C126:C138)</f>
        <v>36</v>
      </c>
      <c r="D139" s="581"/>
      <c r="E139" s="582">
        <f>SUM(E126:E138)</f>
        <v>237600</v>
      </c>
      <c r="F139" s="497"/>
    </row>
    <row r="140" spans="1:6" ht="15" customHeight="1" x14ac:dyDescent="0.2">
      <c r="A140" s="668"/>
      <c r="B140" s="702" t="s">
        <v>207</v>
      </c>
      <c r="C140" s="617"/>
      <c r="D140" s="510"/>
      <c r="E140" s="579"/>
      <c r="F140" s="497"/>
    </row>
    <row r="141" spans="1:6" ht="15" customHeight="1" x14ac:dyDescent="0.2">
      <c r="A141" s="669" t="s">
        <v>208</v>
      </c>
      <c r="B141" s="665" t="s">
        <v>209</v>
      </c>
      <c r="C141" s="614">
        <f>+[10]BS17A!$D72</f>
        <v>0</v>
      </c>
      <c r="D141" s="505">
        <f>+[10]BS17A!$U72</f>
        <v>11430</v>
      </c>
      <c r="E141" s="580">
        <f>+[10]BS17A!$V72</f>
        <v>0</v>
      </c>
      <c r="F141" s="497"/>
    </row>
    <row r="142" spans="1:6" ht="15" customHeight="1" x14ac:dyDescent="0.2">
      <c r="A142" s="669" t="s">
        <v>210</v>
      </c>
      <c r="B142" s="665" t="s">
        <v>211</v>
      </c>
      <c r="C142" s="614">
        <f>+[10]BS17A!$D74</f>
        <v>0</v>
      </c>
      <c r="D142" s="505">
        <f>+[10]BS17A!$U74</f>
        <v>11430</v>
      </c>
      <c r="E142" s="580">
        <f>+[10]BS17A!$V74</f>
        <v>0</v>
      </c>
      <c r="F142" s="497"/>
    </row>
    <row r="143" spans="1:6" ht="15" customHeight="1" x14ac:dyDescent="0.2">
      <c r="A143" s="669" t="s">
        <v>212</v>
      </c>
      <c r="B143" s="665" t="s">
        <v>213</v>
      </c>
      <c r="C143" s="614">
        <f>+[10]BS17A!$D75</f>
        <v>0</v>
      </c>
      <c r="D143" s="505">
        <f>+[10]BS17A!$U75</f>
        <v>5040</v>
      </c>
      <c r="E143" s="580">
        <f>+[10]BS17A!$V75</f>
        <v>0</v>
      </c>
      <c r="F143" s="497"/>
    </row>
    <row r="144" spans="1:6" ht="15" customHeight="1" x14ac:dyDescent="0.2">
      <c r="A144" s="669" t="s">
        <v>214</v>
      </c>
      <c r="B144" s="665" t="s">
        <v>215</v>
      </c>
      <c r="C144" s="614">
        <f>+[10]BS17A!$D77</f>
        <v>0</v>
      </c>
      <c r="D144" s="505">
        <f>+[10]BS17A!$U77</f>
        <v>91950</v>
      </c>
      <c r="E144" s="580">
        <f>+[10]BS17A!$V77</f>
        <v>0</v>
      </c>
      <c r="F144" s="497"/>
    </row>
    <row r="145" spans="1:6" ht="15" customHeight="1" x14ac:dyDescent="0.2">
      <c r="A145" s="669" t="s">
        <v>216</v>
      </c>
      <c r="B145" s="665" t="s">
        <v>217</v>
      </c>
      <c r="C145" s="614">
        <f>+[10]BS17A!$D78</f>
        <v>0</v>
      </c>
      <c r="D145" s="505">
        <f>+[10]BS17A!$U78</f>
        <v>10860</v>
      </c>
      <c r="E145" s="580">
        <f>+[10]BS17A!$V78</f>
        <v>0</v>
      </c>
      <c r="F145" s="497"/>
    </row>
    <row r="146" spans="1:6" ht="15" customHeight="1" x14ac:dyDescent="0.2">
      <c r="A146" s="669" t="s">
        <v>218</v>
      </c>
      <c r="B146" s="665" t="s">
        <v>219</v>
      </c>
      <c r="C146" s="614">
        <f>+[10]BS17A!$D81</f>
        <v>0</v>
      </c>
      <c r="D146" s="505">
        <f>+[10]BS17A!$U81</f>
        <v>8360</v>
      </c>
      <c r="E146" s="580">
        <f>+[10]BS17A!$V81</f>
        <v>0</v>
      </c>
      <c r="F146" s="497"/>
    </row>
    <row r="147" spans="1:6" ht="15" customHeight="1" x14ac:dyDescent="0.2">
      <c r="A147" s="670"/>
      <c r="B147" s="701" t="s">
        <v>220</v>
      </c>
      <c r="C147" s="653">
        <f>SUM(C141:C146)</f>
        <v>0</v>
      </c>
      <c r="D147" s="581"/>
      <c r="E147" s="582">
        <f>SUM(E141:E146)</f>
        <v>0</v>
      </c>
      <c r="F147" s="497"/>
    </row>
    <row r="148" spans="1:6" ht="15" customHeight="1" x14ac:dyDescent="0.2">
      <c r="A148" s="676"/>
      <c r="B148" s="675" t="s">
        <v>221</v>
      </c>
      <c r="C148" s="514">
        <f>+C139+C147</f>
        <v>36</v>
      </c>
      <c r="D148" s="583"/>
      <c r="E148" s="584">
        <f>+E139+E147</f>
        <v>237600</v>
      </c>
      <c r="F148" s="497"/>
    </row>
    <row r="149" spans="1:6" ht="12.75" x14ac:dyDescent="0.2">
      <c r="A149" s="497"/>
      <c r="B149" s="497"/>
      <c r="C149" s="497"/>
      <c r="D149" s="497"/>
      <c r="E149" s="497"/>
      <c r="F149" s="497"/>
    </row>
    <row r="150" spans="1:6" ht="12.75" x14ac:dyDescent="0.2">
      <c r="A150" s="497"/>
      <c r="B150" s="497"/>
      <c r="C150" s="497"/>
      <c r="D150" s="497"/>
      <c r="E150" s="497"/>
      <c r="F150" s="494"/>
    </row>
    <row r="151" spans="1:6" ht="12.75" x14ac:dyDescent="0.2">
      <c r="A151" s="745" t="s">
        <v>222</v>
      </c>
      <c r="B151" s="746"/>
      <c r="C151" s="746"/>
      <c r="D151" s="746"/>
      <c r="E151" s="747"/>
      <c r="F151" s="494"/>
    </row>
    <row r="152" spans="1:6" ht="47.25" customHeight="1" x14ac:dyDescent="0.2">
      <c r="A152" s="499" t="s">
        <v>8</v>
      </c>
      <c r="B152" s="499" t="s">
        <v>9</v>
      </c>
      <c r="C152" s="500" t="s">
        <v>10</v>
      </c>
      <c r="D152" s="545" t="s">
        <v>11</v>
      </c>
      <c r="E152" s="501" t="s">
        <v>12</v>
      </c>
      <c r="F152" s="497"/>
    </row>
    <row r="153" spans="1:6" ht="15" customHeight="1" x14ac:dyDescent="0.2">
      <c r="A153" s="668" t="s">
        <v>223</v>
      </c>
      <c r="B153" s="685" t="s">
        <v>224</v>
      </c>
      <c r="C153" s="617">
        <f>+[10]BS17A!D43</f>
        <v>210</v>
      </c>
      <c r="D153" s="510">
        <f>[10]BS17A!U43</f>
        <v>780</v>
      </c>
      <c r="E153" s="579">
        <f>+[10]BS17A!V43</f>
        <v>163800</v>
      </c>
      <c r="F153" s="497"/>
    </row>
    <row r="154" spans="1:6" ht="15" customHeight="1" x14ac:dyDescent="0.2">
      <c r="A154" s="670" t="s">
        <v>225</v>
      </c>
      <c r="B154" s="666" t="s">
        <v>226</v>
      </c>
      <c r="C154" s="629">
        <f>+[10]BS17A!D44+[10]BS17A!D45</f>
        <v>0</v>
      </c>
      <c r="D154" s="512">
        <f>[10]BS17A!U44</f>
        <v>100</v>
      </c>
      <c r="E154" s="585">
        <f>+[10]BS17A!V44+[10]BS17A!V45</f>
        <v>0</v>
      </c>
      <c r="F154" s="497"/>
    </row>
    <row r="155" spans="1:6" ht="15" customHeight="1" x14ac:dyDescent="0.2">
      <c r="A155" s="676"/>
      <c r="B155" s="675" t="s">
        <v>227</v>
      </c>
      <c r="C155" s="514">
        <f>SUM(C153:C154)</f>
        <v>210</v>
      </c>
      <c r="D155" s="583"/>
      <c r="E155" s="584">
        <f>SUM(E153:E154)</f>
        <v>163800</v>
      </c>
      <c r="F155" s="497"/>
    </row>
    <row r="156" spans="1:6" ht="12.75" x14ac:dyDescent="0.2">
      <c r="A156" s="497"/>
      <c r="B156" s="497"/>
      <c r="C156" s="497"/>
      <c r="D156" s="497"/>
      <c r="E156" s="497"/>
      <c r="F156" s="497"/>
    </row>
    <row r="157" spans="1:6" ht="12.75" x14ac:dyDescent="0.2">
      <c r="A157" s="497"/>
      <c r="B157" s="497"/>
      <c r="C157" s="497"/>
      <c r="D157" s="497"/>
      <c r="E157" s="497"/>
      <c r="F157" s="497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494"/>
    </row>
    <row r="159" spans="1:6" ht="47.25" customHeight="1" x14ac:dyDescent="0.2">
      <c r="A159" s="499" t="s">
        <v>8</v>
      </c>
      <c r="B159" s="499" t="s">
        <v>9</v>
      </c>
      <c r="C159" s="500" t="s">
        <v>10</v>
      </c>
      <c r="D159" s="545" t="s">
        <v>11</v>
      </c>
      <c r="E159" s="501" t="s">
        <v>12</v>
      </c>
      <c r="F159" s="497"/>
    </row>
    <row r="160" spans="1:6" ht="15" customHeight="1" x14ac:dyDescent="0.2">
      <c r="A160" s="668" t="s">
        <v>229</v>
      </c>
      <c r="B160" s="663" t="s">
        <v>230</v>
      </c>
      <c r="C160" s="648">
        <f>+[10]BS17A!$D1481</f>
        <v>0</v>
      </c>
      <c r="D160" s="510">
        <f>+[10]BS17A!$U1481</f>
        <v>42830</v>
      </c>
      <c r="E160" s="579">
        <f>+[10]BS17A!$V1481</f>
        <v>0</v>
      </c>
      <c r="F160" s="497"/>
    </row>
    <row r="161" spans="1:6" ht="15" customHeight="1" x14ac:dyDescent="0.2">
      <c r="A161" s="669" t="s">
        <v>231</v>
      </c>
      <c r="B161" s="665" t="s">
        <v>232</v>
      </c>
      <c r="C161" s="652">
        <f>+[10]BS17A!$D1482</f>
        <v>0</v>
      </c>
      <c r="D161" s="505">
        <f>+[10]BS17A!$U1482</f>
        <v>26930</v>
      </c>
      <c r="E161" s="580">
        <f>+[10]BS17A!$V1482</f>
        <v>0</v>
      </c>
      <c r="F161" s="497"/>
    </row>
    <row r="162" spans="1:6" ht="15" customHeight="1" x14ac:dyDescent="0.2">
      <c r="A162" s="669" t="s">
        <v>233</v>
      </c>
      <c r="B162" s="664" t="s">
        <v>234</v>
      </c>
      <c r="C162" s="652">
        <f>+[10]BS17A!$D1483</f>
        <v>0</v>
      </c>
      <c r="D162" s="505">
        <f>+[10]BS17A!$U1483</f>
        <v>27740</v>
      </c>
      <c r="E162" s="580">
        <f>+[10]BS17A!$V1483</f>
        <v>0</v>
      </c>
      <c r="F162" s="497"/>
    </row>
    <row r="163" spans="1:6" ht="15" customHeight="1" x14ac:dyDescent="0.2">
      <c r="A163" s="669" t="s">
        <v>235</v>
      </c>
      <c r="B163" s="665" t="s">
        <v>236</v>
      </c>
      <c r="C163" s="652">
        <f>+[10]BS17A!$D1484</f>
        <v>0</v>
      </c>
      <c r="D163" s="505">
        <f>+[10]BS17A!$U1484</f>
        <v>832280</v>
      </c>
      <c r="E163" s="580">
        <f>+[10]BS17A!$V1484</f>
        <v>0</v>
      </c>
      <c r="F163" s="497"/>
    </row>
    <row r="164" spans="1:6" ht="15" customHeight="1" x14ac:dyDescent="0.2">
      <c r="A164" s="669" t="s">
        <v>237</v>
      </c>
      <c r="B164" s="665" t="s">
        <v>238</v>
      </c>
      <c r="C164" s="652">
        <f>+[10]BS17A!$D1485</f>
        <v>0</v>
      </c>
      <c r="D164" s="505">
        <f>+[10]BS17A!$U1485</f>
        <v>378030</v>
      </c>
      <c r="E164" s="580">
        <f>+[10]BS17A!$V1485</f>
        <v>0</v>
      </c>
      <c r="F164" s="497"/>
    </row>
    <row r="165" spans="1:6" ht="15" customHeight="1" x14ac:dyDescent="0.2">
      <c r="A165" s="669" t="s">
        <v>239</v>
      </c>
      <c r="B165" s="665" t="s">
        <v>240</v>
      </c>
      <c r="C165" s="652">
        <f>+[10]BS17A!$D1486</f>
        <v>0</v>
      </c>
      <c r="D165" s="505">
        <f>+[10]BS17A!$U1486</f>
        <v>578050</v>
      </c>
      <c r="E165" s="580">
        <f>+[10]BS17A!$V1486</f>
        <v>0</v>
      </c>
      <c r="F165" s="497"/>
    </row>
    <row r="166" spans="1:6" ht="15" customHeight="1" x14ac:dyDescent="0.2">
      <c r="A166" s="699" t="s">
        <v>241</v>
      </c>
      <c r="B166" s="697" t="s">
        <v>242</v>
      </c>
      <c r="C166" s="652">
        <f>+[10]BS17A!$D1487</f>
        <v>0</v>
      </c>
      <c r="D166" s="505">
        <f>+[10]BS17A!$U1487</f>
        <v>52120</v>
      </c>
      <c r="E166" s="580">
        <f>+[10]BS17A!$V1487</f>
        <v>0</v>
      </c>
      <c r="F166" s="497"/>
    </row>
    <row r="167" spans="1:6" ht="15" customHeight="1" x14ac:dyDescent="0.2">
      <c r="A167" s="700">
        <v>1901029</v>
      </c>
      <c r="B167" s="698" t="s">
        <v>243</v>
      </c>
      <c r="C167" s="649">
        <f>+[10]BS17A!$D1488</f>
        <v>0</v>
      </c>
      <c r="D167" s="512">
        <f>+[10]BS17A!$U1488</f>
        <v>677560</v>
      </c>
      <c r="E167" s="585">
        <f>+[10]BS17A!$V1488</f>
        <v>0</v>
      </c>
      <c r="F167" s="497"/>
    </row>
    <row r="168" spans="1:6" ht="15" customHeight="1" x14ac:dyDescent="0.2">
      <c r="A168" s="569"/>
      <c r="B168" s="586" t="s">
        <v>244</v>
      </c>
      <c r="C168" s="587">
        <f>SUM(C160:C167)</f>
        <v>0</v>
      </c>
      <c r="D168" s="588"/>
      <c r="E168" s="589">
        <f>SUM(E160:E167)</f>
        <v>0</v>
      </c>
      <c r="F168" s="497"/>
    </row>
    <row r="169" spans="1:6" ht="12.75" x14ac:dyDescent="0.2">
      <c r="A169" s="497"/>
      <c r="B169" s="497"/>
      <c r="C169" s="497"/>
      <c r="D169" s="497"/>
      <c r="E169" s="497"/>
      <c r="F169" s="497"/>
    </row>
    <row r="170" spans="1:6" ht="18" customHeight="1" x14ac:dyDescent="0.2">
      <c r="A170" s="497"/>
      <c r="B170" s="497"/>
      <c r="C170" s="497"/>
      <c r="D170" s="497"/>
      <c r="E170" s="497"/>
      <c r="F170" s="497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494"/>
    </row>
    <row r="172" spans="1:6" ht="46.5" customHeight="1" x14ac:dyDescent="0.2">
      <c r="A172" s="499" t="s">
        <v>8</v>
      </c>
      <c r="B172" s="499" t="s">
        <v>9</v>
      </c>
      <c r="C172" s="500" t="s">
        <v>10</v>
      </c>
      <c r="D172" s="545" t="s">
        <v>11</v>
      </c>
      <c r="E172" s="501" t="s">
        <v>12</v>
      </c>
      <c r="F172" s="497"/>
    </row>
    <row r="173" spans="1:6" ht="12.75" customHeight="1" x14ac:dyDescent="0.2">
      <c r="A173" s="696">
        <v>1101004</v>
      </c>
      <c r="B173" s="692" t="s">
        <v>246</v>
      </c>
      <c r="C173" s="617">
        <f>+[10]BS17A!$D805</f>
        <v>16</v>
      </c>
      <c r="D173" s="510">
        <f>+[10]BS17A!$U805</f>
        <v>14690</v>
      </c>
      <c r="E173" s="579">
        <f>+[10]BS17A!$V805</f>
        <v>235040</v>
      </c>
      <c r="F173" s="497"/>
    </row>
    <row r="174" spans="1:6" ht="12.75" customHeight="1" x14ac:dyDescent="0.2">
      <c r="A174" s="691">
        <v>1101006</v>
      </c>
      <c r="B174" s="693" t="s">
        <v>247</v>
      </c>
      <c r="C174" s="614">
        <f>+[10]BS17A!$D806</f>
        <v>0</v>
      </c>
      <c r="D174" s="505">
        <f>+[10]BS17A!$U806</f>
        <v>11740</v>
      </c>
      <c r="E174" s="580">
        <f>+[10]BS17A!$V806</f>
        <v>0</v>
      </c>
      <c r="F174" s="497"/>
    </row>
    <row r="175" spans="1:6" ht="24.75" customHeight="1" x14ac:dyDescent="0.2">
      <c r="A175" s="691" t="s">
        <v>248</v>
      </c>
      <c r="B175" s="694" t="s">
        <v>249</v>
      </c>
      <c r="C175" s="614">
        <f>+[10]BS17A!$D1197</f>
        <v>719</v>
      </c>
      <c r="D175" s="505">
        <f>+[10]BS17A!$U1197</f>
        <v>5030</v>
      </c>
      <c r="E175" s="580">
        <f>+[10]BS17A!$V1197</f>
        <v>3616570</v>
      </c>
      <c r="F175" s="497"/>
    </row>
    <row r="176" spans="1:6" ht="24.75" customHeight="1" x14ac:dyDescent="0.2">
      <c r="A176" s="691" t="s">
        <v>250</v>
      </c>
      <c r="B176" s="694" t="s">
        <v>251</v>
      </c>
      <c r="C176" s="614">
        <f>+[10]BS17A!$D1198</f>
        <v>22</v>
      </c>
      <c r="D176" s="505">
        <f>+[10]BS17A!$U1198</f>
        <v>14180</v>
      </c>
      <c r="E176" s="580">
        <f>+[10]BS17A!$V1198</f>
        <v>311960</v>
      </c>
      <c r="F176" s="497"/>
    </row>
    <row r="177" spans="1:6" ht="24.75" customHeight="1" x14ac:dyDescent="0.2">
      <c r="A177" s="691" t="s">
        <v>252</v>
      </c>
      <c r="B177" s="694" t="s">
        <v>253</v>
      </c>
      <c r="C177" s="614">
        <f>+[10]BS17A!$D1199</f>
        <v>52</v>
      </c>
      <c r="D177" s="505">
        <f>+[10]BS17A!$U1199</f>
        <v>24050</v>
      </c>
      <c r="E177" s="580">
        <f>+[10]BS17A!$V1199</f>
        <v>1250600</v>
      </c>
      <c r="F177" s="497"/>
    </row>
    <row r="178" spans="1:6" ht="12.75" customHeight="1" x14ac:dyDescent="0.2">
      <c r="A178" s="691" t="s">
        <v>254</v>
      </c>
      <c r="B178" s="694" t="s">
        <v>255</v>
      </c>
      <c r="C178" s="614">
        <f>+[10]BS17A!$D1200</f>
        <v>0</v>
      </c>
      <c r="D178" s="505">
        <f>+[10]BS17A!$U1200</f>
        <v>45920</v>
      </c>
      <c r="E178" s="580">
        <f>+[10]BS17A!$V1200</f>
        <v>0</v>
      </c>
      <c r="F178" s="497"/>
    </row>
    <row r="179" spans="1:6" ht="12.75" customHeight="1" x14ac:dyDescent="0.2">
      <c r="A179" s="691" t="s">
        <v>256</v>
      </c>
      <c r="B179" s="694" t="s">
        <v>257</v>
      </c>
      <c r="C179" s="614">
        <f>+[10]BS17A!$D1201</f>
        <v>95</v>
      </c>
      <c r="D179" s="505">
        <f>+[10]BS17A!$U1201</f>
        <v>51180</v>
      </c>
      <c r="E179" s="580">
        <f>+[10]BS17A!$V1201</f>
        <v>4862100</v>
      </c>
      <c r="F179" s="497"/>
    </row>
    <row r="180" spans="1:6" ht="24.75" customHeight="1" x14ac:dyDescent="0.2">
      <c r="A180" s="691" t="s">
        <v>258</v>
      </c>
      <c r="B180" s="694" t="s">
        <v>259</v>
      </c>
      <c r="C180" s="614">
        <f>+[10]BS17A!$D1202</f>
        <v>0</v>
      </c>
      <c r="D180" s="505">
        <f>+[10]BS17A!$U1202</f>
        <v>28710</v>
      </c>
      <c r="E180" s="580">
        <f>+[10]BS17A!$V1202</f>
        <v>0</v>
      </c>
      <c r="F180" s="497"/>
    </row>
    <row r="181" spans="1:6" ht="12.75" customHeight="1" x14ac:dyDescent="0.2">
      <c r="A181" s="691" t="s">
        <v>260</v>
      </c>
      <c r="B181" s="695" t="s">
        <v>261</v>
      </c>
      <c r="C181" s="614">
        <f>+[10]BS17A!$D1203</f>
        <v>0</v>
      </c>
      <c r="D181" s="505">
        <f>+[10]BS17A!$U1203</f>
        <v>222100</v>
      </c>
      <c r="E181" s="580">
        <f>+[10]BS17A!$V1203</f>
        <v>0</v>
      </c>
      <c r="F181" s="497"/>
    </row>
    <row r="182" spans="1:6" ht="12.75" customHeight="1" x14ac:dyDescent="0.2">
      <c r="A182" s="691" t="s">
        <v>262</v>
      </c>
      <c r="B182" s="694" t="s">
        <v>263</v>
      </c>
      <c r="C182" s="614">
        <f>+[10]BS17A!$D1204</f>
        <v>0</v>
      </c>
      <c r="D182" s="505">
        <f>+[10]BS17A!$U1204</f>
        <v>252490</v>
      </c>
      <c r="E182" s="580">
        <f>+[10]BS17A!$V1204</f>
        <v>0</v>
      </c>
      <c r="F182" s="497"/>
    </row>
    <row r="183" spans="1:6" ht="12.75" customHeight="1" x14ac:dyDescent="0.2">
      <c r="A183" s="691" t="s">
        <v>264</v>
      </c>
      <c r="B183" s="694" t="s">
        <v>265</v>
      </c>
      <c r="C183" s="614">
        <f>+[10]BS17A!$D1205</f>
        <v>0</v>
      </c>
      <c r="D183" s="505">
        <f>+[10]BS17A!$U1205</f>
        <v>205900</v>
      </c>
      <c r="E183" s="580">
        <f>+[10]BS17A!$V1205</f>
        <v>0</v>
      </c>
      <c r="F183" s="497"/>
    </row>
    <row r="184" spans="1:6" ht="24.75" customHeight="1" x14ac:dyDescent="0.2">
      <c r="A184" s="691" t="s">
        <v>266</v>
      </c>
      <c r="B184" s="695" t="s">
        <v>267</v>
      </c>
      <c r="C184" s="614">
        <f>+[10]BS17A!$D1206</f>
        <v>0</v>
      </c>
      <c r="D184" s="505">
        <f>+[10]BS17A!$U1206</f>
        <v>264470</v>
      </c>
      <c r="E184" s="580">
        <f>+[10]BS17A!$V1206</f>
        <v>0</v>
      </c>
      <c r="F184" s="497"/>
    </row>
    <row r="185" spans="1:6" ht="24.75" customHeight="1" x14ac:dyDescent="0.2">
      <c r="A185" s="691" t="s">
        <v>268</v>
      </c>
      <c r="B185" s="695" t="s">
        <v>269</v>
      </c>
      <c r="C185" s="614">
        <f>+[10]BS17A!$D1207</f>
        <v>0</v>
      </c>
      <c r="D185" s="505">
        <f>+[10]BS17A!$U1207</f>
        <v>270610</v>
      </c>
      <c r="E185" s="580">
        <f>+[10]BS17A!$V1207</f>
        <v>0</v>
      </c>
      <c r="F185" s="497"/>
    </row>
    <row r="186" spans="1:6" ht="24.75" customHeight="1" x14ac:dyDescent="0.2">
      <c r="A186" s="691" t="s">
        <v>270</v>
      </c>
      <c r="B186" s="695" t="s">
        <v>271</v>
      </c>
      <c r="C186" s="614">
        <f>+[10]BS17A!$D1208</f>
        <v>0</v>
      </c>
      <c r="D186" s="505">
        <f>+[10]BS17A!$U1208</f>
        <v>228850</v>
      </c>
      <c r="E186" s="580">
        <f>+[10]BS17A!$V1208</f>
        <v>0</v>
      </c>
      <c r="F186" s="497"/>
    </row>
    <row r="187" spans="1:6" ht="12.75" customHeight="1" x14ac:dyDescent="0.2">
      <c r="A187" s="691" t="s">
        <v>272</v>
      </c>
      <c r="B187" s="695" t="s">
        <v>273</v>
      </c>
      <c r="C187" s="614">
        <f>+[10]BS17A!$D1209</f>
        <v>0</v>
      </c>
      <c r="D187" s="505">
        <f>+[10]BS17A!$U1209</f>
        <v>244270</v>
      </c>
      <c r="E187" s="580">
        <f>+[10]BS17A!$V1209</f>
        <v>0</v>
      </c>
      <c r="F187" s="497"/>
    </row>
    <row r="188" spans="1:6" ht="12.75" customHeight="1" x14ac:dyDescent="0.2">
      <c r="A188" s="691" t="s">
        <v>274</v>
      </c>
      <c r="B188" s="695" t="s">
        <v>275</v>
      </c>
      <c r="C188" s="614">
        <f>+[10]BS17A!$D1210</f>
        <v>0</v>
      </c>
      <c r="D188" s="505">
        <f>+[10]BS17A!$U1210</f>
        <v>292090</v>
      </c>
      <c r="E188" s="580">
        <f>+[10]BS17A!$V1210</f>
        <v>0</v>
      </c>
      <c r="F188" s="497"/>
    </row>
    <row r="189" spans="1:6" ht="24.75" customHeight="1" x14ac:dyDescent="0.2">
      <c r="A189" s="691" t="s">
        <v>276</v>
      </c>
      <c r="B189" s="694" t="s">
        <v>277</v>
      </c>
      <c r="C189" s="614">
        <f>+[10]BS17A!$D1211</f>
        <v>0</v>
      </c>
      <c r="D189" s="505">
        <f>+[10]BS17A!$U1211</f>
        <v>259010</v>
      </c>
      <c r="E189" s="580">
        <f>+[10]BS17A!$V1211</f>
        <v>0</v>
      </c>
      <c r="F189" s="497"/>
    </row>
    <row r="190" spans="1:6" ht="24.75" customHeight="1" x14ac:dyDescent="0.2">
      <c r="A190" s="691" t="s">
        <v>278</v>
      </c>
      <c r="B190" s="695" t="s">
        <v>279</v>
      </c>
      <c r="C190" s="614">
        <f>+[10]BS17A!$D1212</f>
        <v>0</v>
      </c>
      <c r="D190" s="505">
        <f>+[10]BS17A!$U1212</f>
        <v>1895520</v>
      </c>
      <c r="E190" s="580">
        <f>+[10]BS17A!$V1212</f>
        <v>0</v>
      </c>
      <c r="F190" s="497"/>
    </row>
    <row r="191" spans="1:6" ht="12.75" customHeight="1" x14ac:dyDescent="0.2">
      <c r="A191" s="691" t="s">
        <v>280</v>
      </c>
      <c r="B191" s="695" t="s">
        <v>281</v>
      </c>
      <c r="C191" s="614">
        <f>+[10]BS17A!$D1213</f>
        <v>0</v>
      </c>
      <c r="D191" s="505">
        <f>+[10]BS17A!$U1213</f>
        <v>1183940</v>
      </c>
      <c r="E191" s="580">
        <f>+[10]BS17A!$V1213</f>
        <v>0</v>
      </c>
      <c r="F191" s="497"/>
    </row>
    <row r="192" spans="1:6" ht="12.75" customHeight="1" x14ac:dyDescent="0.2">
      <c r="A192" s="669" t="s">
        <v>282</v>
      </c>
      <c r="B192" s="695" t="s">
        <v>283</v>
      </c>
      <c r="C192" s="614">
        <f>+[10]BS17A!$D1214</f>
        <v>0</v>
      </c>
      <c r="D192" s="505">
        <f>+[10]BS17A!$U1214</f>
        <v>1145920</v>
      </c>
      <c r="E192" s="580">
        <f>+[10]BS17A!$V1214</f>
        <v>0</v>
      </c>
      <c r="F192" s="497"/>
    </row>
    <row r="193" spans="1:6" ht="24.75" customHeight="1" x14ac:dyDescent="0.2">
      <c r="A193" s="691" t="s">
        <v>284</v>
      </c>
      <c r="B193" s="695" t="s">
        <v>285</v>
      </c>
      <c r="C193" s="614">
        <f>+[10]BS17A!$D1215</f>
        <v>0</v>
      </c>
      <c r="D193" s="505">
        <f>+[10]BS17A!$U1215</f>
        <v>1200500</v>
      </c>
      <c r="E193" s="580">
        <f>+[10]BS17A!$V1215</f>
        <v>0</v>
      </c>
      <c r="F193" s="497"/>
    </row>
    <row r="194" spans="1:6" ht="12.75" customHeight="1" x14ac:dyDescent="0.2">
      <c r="A194" s="669" t="s">
        <v>286</v>
      </c>
      <c r="B194" s="695" t="s">
        <v>287</v>
      </c>
      <c r="C194" s="614">
        <f>+[10]BS17A!$D1216</f>
        <v>0</v>
      </c>
      <c r="D194" s="505">
        <f>+[10]BS17A!$U1216</f>
        <v>169880</v>
      </c>
      <c r="E194" s="580">
        <f>+[10]BS17A!$V1216</f>
        <v>0</v>
      </c>
      <c r="F194" s="497"/>
    </row>
    <row r="195" spans="1:6" ht="12.75" customHeight="1" x14ac:dyDescent="0.2">
      <c r="A195" s="669" t="s">
        <v>288</v>
      </c>
      <c r="B195" s="695" t="s">
        <v>289</v>
      </c>
      <c r="C195" s="614">
        <f>+[10]BS17A!$D1217</f>
        <v>0</v>
      </c>
      <c r="D195" s="505">
        <f>+[10]BS17A!$U1217</f>
        <v>387660</v>
      </c>
      <c r="E195" s="580">
        <f>+[10]BS17A!$V1217</f>
        <v>0</v>
      </c>
      <c r="F195" s="497"/>
    </row>
    <row r="196" spans="1:6" ht="12.75" customHeight="1" x14ac:dyDescent="0.2">
      <c r="A196" s="691" t="s">
        <v>290</v>
      </c>
      <c r="B196" s="695" t="s">
        <v>291</v>
      </c>
      <c r="C196" s="614">
        <f>+[10]BS17A!$D1218</f>
        <v>0</v>
      </c>
      <c r="D196" s="505">
        <f>+[10]BS17A!$U1218</f>
        <v>143720</v>
      </c>
      <c r="E196" s="580">
        <f>+[10]BS17A!$V1218</f>
        <v>0</v>
      </c>
      <c r="F196" s="497"/>
    </row>
    <row r="197" spans="1:6" ht="12.75" customHeight="1" x14ac:dyDescent="0.2">
      <c r="A197" s="691" t="s">
        <v>292</v>
      </c>
      <c r="B197" s="695" t="s">
        <v>293</v>
      </c>
      <c r="C197" s="614">
        <f>+[10]BS17A!$D1219</f>
        <v>0</v>
      </c>
      <c r="D197" s="505">
        <f>+[10]BS17A!$U1219</f>
        <v>1164440</v>
      </c>
      <c r="E197" s="580">
        <f>+[10]BS17A!$V1219</f>
        <v>0</v>
      </c>
      <c r="F197" s="497"/>
    </row>
    <row r="198" spans="1:6" ht="12.75" customHeight="1" x14ac:dyDescent="0.2">
      <c r="A198" s="691" t="s">
        <v>294</v>
      </c>
      <c r="B198" s="695" t="s">
        <v>295</v>
      </c>
      <c r="C198" s="614">
        <f>+[10]BS17A!$D1220</f>
        <v>0</v>
      </c>
      <c r="D198" s="505">
        <f>+[10]BS17A!$U1220</f>
        <v>1164440</v>
      </c>
      <c r="E198" s="580">
        <f>+[10]BS17A!$V1220</f>
        <v>0</v>
      </c>
      <c r="F198" s="497"/>
    </row>
    <row r="199" spans="1:6" ht="12.75" customHeight="1" x14ac:dyDescent="0.2">
      <c r="A199" s="691">
        <v>1801001</v>
      </c>
      <c r="B199" s="693" t="s">
        <v>296</v>
      </c>
      <c r="C199" s="614">
        <f>+[10]BS17A!$D1354</f>
        <v>52</v>
      </c>
      <c r="D199" s="505">
        <f>+[10]BS17A!$U1354</f>
        <v>34730</v>
      </c>
      <c r="E199" s="580">
        <f>+[10]BS17A!$V1354</f>
        <v>1805960</v>
      </c>
      <c r="F199" s="497"/>
    </row>
    <row r="200" spans="1:6" ht="12.75" customHeight="1" x14ac:dyDescent="0.2">
      <c r="A200" s="691">
        <v>1801003</v>
      </c>
      <c r="B200" s="695" t="s">
        <v>297</v>
      </c>
      <c r="C200" s="614">
        <f>+[10]BS17A!$D1355</f>
        <v>0</v>
      </c>
      <c r="D200" s="505">
        <f>+[10]BS17A!$U1355</f>
        <v>41890</v>
      </c>
      <c r="E200" s="580">
        <f>+[10]BS17A!$V1355</f>
        <v>0</v>
      </c>
      <c r="F200" s="497"/>
    </row>
    <row r="201" spans="1:6" ht="12.75" customHeight="1" x14ac:dyDescent="0.2">
      <c r="A201" s="691">
        <v>1801006</v>
      </c>
      <c r="B201" s="693" t="s">
        <v>298</v>
      </c>
      <c r="C201" s="614">
        <f>+[10]BS17A!$D1356</f>
        <v>14</v>
      </c>
      <c r="D201" s="505">
        <f>+[10]BS17A!$U1356</f>
        <v>44620</v>
      </c>
      <c r="E201" s="580">
        <f>+[10]BS17A!$V1356</f>
        <v>624680</v>
      </c>
      <c r="F201" s="497"/>
    </row>
    <row r="202" spans="1:6" ht="24.75" customHeight="1" x14ac:dyDescent="0.2">
      <c r="A202" s="691" t="s">
        <v>299</v>
      </c>
      <c r="B202" s="693" t="s">
        <v>300</v>
      </c>
      <c r="C202" s="614">
        <f>[10]BS17A!D1036</f>
        <v>0</v>
      </c>
      <c r="D202" s="505">
        <f>[10]BS17A!U1036</f>
        <v>9390</v>
      </c>
      <c r="E202" s="580">
        <f>[10]BS17A!V1036</f>
        <v>0</v>
      </c>
      <c r="F202" s="497"/>
    </row>
    <row r="203" spans="1:6" ht="24.75" customHeight="1" x14ac:dyDescent="0.2">
      <c r="A203" s="721" t="s">
        <v>301</v>
      </c>
      <c r="B203" s="723" t="s">
        <v>302</v>
      </c>
      <c r="C203" s="719">
        <f>[10]BS17A!D807</f>
        <v>0</v>
      </c>
      <c r="D203" s="505">
        <f>[10]BS17A!U807</f>
        <v>398560</v>
      </c>
      <c r="E203" s="580">
        <f>[10]BS17A!V807</f>
        <v>0</v>
      </c>
      <c r="F203" s="497"/>
    </row>
    <row r="204" spans="1:6" ht="24.75" customHeight="1" x14ac:dyDescent="0.2">
      <c r="A204" s="721" t="s">
        <v>303</v>
      </c>
      <c r="B204" s="723" t="s">
        <v>304</v>
      </c>
      <c r="C204" s="719">
        <f>[10]BS17A!D808</f>
        <v>0</v>
      </c>
      <c r="D204" s="505">
        <f>[10]BS17A!U808</f>
        <v>8946190</v>
      </c>
      <c r="E204" s="580">
        <f>[10]BS17A!V808</f>
        <v>0</v>
      </c>
      <c r="F204" s="497"/>
    </row>
    <row r="205" spans="1:6" ht="24.75" customHeight="1" x14ac:dyDescent="0.2">
      <c r="A205" s="721" t="s">
        <v>305</v>
      </c>
      <c r="B205" s="723" t="s">
        <v>306</v>
      </c>
      <c r="C205" s="719">
        <f>[10]BS17A!D809</f>
        <v>0</v>
      </c>
      <c r="D205" s="505">
        <f>[10]BS17A!U809</f>
        <v>229650</v>
      </c>
      <c r="E205" s="580">
        <f>[10]BS17A!V809</f>
        <v>0</v>
      </c>
      <c r="F205" s="497"/>
    </row>
    <row r="206" spans="1:6" ht="24.75" customHeight="1" x14ac:dyDescent="0.2">
      <c r="A206" s="722" t="s">
        <v>307</v>
      </c>
      <c r="B206" s="724" t="s">
        <v>308</v>
      </c>
      <c r="C206" s="720">
        <f>[10]BS17A!D810</f>
        <v>0</v>
      </c>
      <c r="D206" s="512">
        <f>[10]BS17A!U810</f>
        <v>1047210</v>
      </c>
      <c r="E206" s="585">
        <f>[10]BS17A!V810</f>
        <v>0</v>
      </c>
      <c r="F206" s="497"/>
    </row>
    <row r="207" spans="1:6" ht="17.25" customHeight="1" x14ac:dyDescent="0.2">
      <c r="A207" s="676"/>
      <c r="B207" s="675" t="s">
        <v>309</v>
      </c>
      <c r="C207" s="514">
        <f>SUM(C173:C206)</f>
        <v>970</v>
      </c>
      <c r="D207" s="583"/>
      <c r="E207" s="584">
        <f>SUM(E173:E206)</f>
        <v>12706910</v>
      </c>
      <c r="F207" s="497"/>
    </row>
    <row r="208" spans="1:6" ht="21.75" customHeight="1" x14ac:dyDescent="0.2">
      <c r="A208" s="497"/>
      <c r="B208" s="497"/>
      <c r="C208" s="497"/>
      <c r="D208" s="497"/>
      <c r="E208" s="497"/>
      <c r="F208" s="497"/>
    </row>
    <row r="209" spans="1:6" ht="19.5" customHeight="1" x14ac:dyDescent="0.2">
      <c r="A209" s="497"/>
      <c r="B209" s="497"/>
      <c r="C209" s="497"/>
      <c r="D209" s="497"/>
      <c r="E209" s="497"/>
      <c r="F209" s="497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494"/>
    </row>
    <row r="211" spans="1:6" ht="39.75" customHeight="1" x14ac:dyDescent="0.2">
      <c r="A211" s="499" t="s">
        <v>8</v>
      </c>
      <c r="B211" s="499" t="s">
        <v>9</v>
      </c>
      <c r="C211" s="500" t="s">
        <v>10</v>
      </c>
      <c r="D211" s="545" t="s">
        <v>11</v>
      </c>
      <c r="E211" s="501" t="s">
        <v>12</v>
      </c>
      <c r="F211" s="494"/>
    </row>
    <row r="212" spans="1:6" ht="12.75" customHeight="1" x14ac:dyDescent="0.2">
      <c r="A212" s="668" t="s">
        <v>311</v>
      </c>
      <c r="B212" s="685" t="s">
        <v>312</v>
      </c>
      <c r="C212" s="617">
        <f>+[10]BS17A!$D18</f>
        <v>0</v>
      </c>
      <c r="D212" s="510">
        <f>+[10]BS17A!$U18</f>
        <v>14530</v>
      </c>
      <c r="E212" s="579">
        <f>+[10]BS17A!$V18</f>
        <v>0</v>
      </c>
      <c r="F212" s="497"/>
    </row>
    <row r="213" spans="1:6" ht="12.75" customHeight="1" x14ac:dyDescent="0.2">
      <c r="A213" s="669" t="s">
        <v>313</v>
      </c>
      <c r="B213" s="665" t="s">
        <v>314</v>
      </c>
      <c r="C213" s="614">
        <f>+[10]BS17A!$D19</f>
        <v>177</v>
      </c>
      <c r="D213" s="505">
        <f>+[10]BS17A!$U19</f>
        <v>14530</v>
      </c>
      <c r="E213" s="580">
        <f>+[10]BS17A!$V19</f>
        <v>2571810</v>
      </c>
      <c r="F213" s="497"/>
    </row>
    <row r="214" spans="1:6" ht="12.75" customHeight="1" x14ac:dyDescent="0.2">
      <c r="A214" s="669" t="s">
        <v>315</v>
      </c>
      <c r="B214" s="664" t="s">
        <v>316</v>
      </c>
      <c r="C214" s="614">
        <f>+[10]BS17A!$D47</f>
        <v>0</v>
      </c>
      <c r="D214" s="505">
        <f>+[10]BS17A!$U47</f>
        <v>1390</v>
      </c>
      <c r="E214" s="580">
        <f>+[10]BS17A!$V47</f>
        <v>0</v>
      </c>
      <c r="F214" s="497"/>
    </row>
    <row r="215" spans="1:6" ht="12.75" customHeight="1" x14ac:dyDescent="0.2">
      <c r="A215" s="669" t="s">
        <v>317</v>
      </c>
      <c r="B215" s="664" t="s">
        <v>318</v>
      </c>
      <c r="C215" s="614">
        <f>+[10]BS17A!$D48</f>
        <v>583</v>
      </c>
      <c r="D215" s="505">
        <f>+[10]BS17A!$U48</f>
        <v>680</v>
      </c>
      <c r="E215" s="580">
        <f>+[10]BS17A!$V48</f>
        <v>396440</v>
      </c>
      <c r="F215" s="497"/>
    </row>
    <row r="216" spans="1:6" ht="12.75" customHeight="1" x14ac:dyDescent="0.2">
      <c r="A216" s="669" t="s">
        <v>319</v>
      </c>
      <c r="B216" s="665" t="s">
        <v>320</v>
      </c>
      <c r="C216" s="614">
        <f>+[10]BS17A!$D49</f>
        <v>4411</v>
      </c>
      <c r="D216" s="505">
        <f>+[10]BS17A!$U49</f>
        <v>2060</v>
      </c>
      <c r="E216" s="580">
        <f>+[10]BS17A!$V49</f>
        <v>9086660</v>
      </c>
      <c r="F216" s="497"/>
    </row>
    <row r="217" spans="1:6" ht="12.75" customHeight="1" x14ac:dyDescent="0.2">
      <c r="A217" s="669" t="s">
        <v>321</v>
      </c>
      <c r="B217" s="665" t="s">
        <v>322</v>
      </c>
      <c r="C217" s="614">
        <f>+[10]BS17A!$D50</f>
        <v>69</v>
      </c>
      <c r="D217" s="505">
        <f>+[10]BS17A!$U50</f>
        <v>15480</v>
      </c>
      <c r="E217" s="580">
        <f>+[10]BS17A!$V50</f>
        <v>1068120</v>
      </c>
      <c r="F217" s="497"/>
    </row>
    <row r="218" spans="1:6" ht="12.75" customHeight="1" x14ac:dyDescent="0.2">
      <c r="A218" s="669" t="s">
        <v>323</v>
      </c>
      <c r="B218" s="664" t="s">
        <v>324</v>
      </c>
      <c r="C218" s="614">
        <f>+[10]BS17A!$D51</f>
        <v>118</v>
      </c>
      <c r="D218" s="505">
        <f>+[10]BS17A!$U51</f>
        <v>35550</v>
      </c>
      <c r="E218" s="580">
        <f>+[10]BS17A!$V51</f>
        <v>4194900</v>
      </c>
      <c r="F218" s="497"/>
    </row>
    <row r="219" spans="1:6" ht="12.75" customHeight="1" x14ac:dyDescent="0.2">
      <c r="A219" s="691" t="s">
        <v>325</v>
      </c>
      <c r="B219" s="664" t="s">
        <v>326</v>
      </c>
      <c r="C219" s="614">
        <f>+[10]BS17A!D52</f>
        <v>15</v>
      </c>
      <c r="D219" s="591"/>
      <c r="E219" s="580">
        <f>+[10]BS17A!V52</f>
        <v>133050</v>
      </c>
      <c r="F219" s="497"/>
    </row>
    <row r="220" spans="1:6" ht="12.75" customHeight="1" x14ac:dyDescent="0.2">
      <c r="A220" s="670" t="s">
        <v>327</v>
      </c>
      <c r="B220" s="666" t="s">
        <v>328</v>
      </c>
      <c r="C220" s="629">
        <f>+[10]BS17A!$D1861</f>
        <v>33</v>
      </c>
      <c r="D220" s="512">
        <f>+[10]BS17A!$U1861</f>
        <v>28810</v>
      </c>
      <c r="E220" s="585">
        <f>+[10]BS17A!$V1861</f>
        <v>950730</v>
      </c>
      <c r="F220" s="497"/>
    </row>
    <row r="221" spans="1:6" ht="12.75" x14ac:dyDescent="0.2">
      <c r="A221" s="676"/>
      <c r="B221" s="675" t="s">
        <v>329</v>
      </c>
      <c r="C221" s="514">
        <f>SUM(C212:C220)</f>
        <v>5406</v>
      </c>
      <c r="D221" s="583"/>
      <c r="E221" s="590">
        <f>SUM(E212:E220)</f>
        <v>18401710</v>
      </c>
      <c r="F221" s="497"/>
    </row>
    <row r="222" spans="1:6" ht="17.25" customHeight="1" x14ac:dyDescent="0.2">
      <c r="A222" s="497"/>
      <c r="B222" s="497"/>
      <c r="C222" s="497"/>
      <c r="D222" s="497"/>
      <c r="E222" s="497"/>
      <c r="F222" s="497"/>
    </row>
    <row r="223" spans="1:6" ht="18" customHeight="1" x14ac:dyDescent="0.2">
      <c r="A223" s="497"/>
      <c r="B223" s="497"/>
      <c r="C223" s="497"/>
      <c r="D223" s="497"/>
      <c r="E223" s="497"/>
      <c r="F223" s="497"/>
    </row>
    <row r="224" spans="1:6" ht="27.75" customHeight="1" x14ac:dyDescent="0.2">
      <c r="A224" s="765" t="s">
        <v>330</v>
      </c>
      <c r="B224" s="766"/>
      <c r="C224" s="767"/>
      <c r="D224" s="497"/>
      <c r="E224" s="497"/>
      <c r="F224" s="494"/>
    </row>
    <row r="225" spans="1:7" ht="42.75" customHeight="1" x14ac:dyDescent="0.2">
      <c r="A225" s="499" t="s">
        <v>8</v>
      </c>
      <c r="B225" s="499" t="s">
        <v>10</v>
      </c>
      <c r="C225" s="499" t="s">
        <v>12</v>
      </c>
      <c r="D225" s="494"/>
      <c r="E225" s="497"/>
      <c r="F225" s="497"/>
    </row>
    <row r="226" spans="1:7" ht="15" customHeight="1" x14ac:dyDescent="0.2">
      <c r="A226" s="668" t="s">
        <v>331</v>
      </c>
      <c r="B226" s="686" t="s">
        <v>332</v>
      </c>
      <c r="C226" s="592"/>
      <c r="D226" s="593"/>
      <c r="E226" s="497"/>
      <c r="F226" s="497"/>
    </row>
    <row r="227" spans="1:7" ht="15" customHeight="1" x14ac:dyDescent="0.2">
      <c r="A227" s="689" t="s">
        <v>333</v>
      </c>
      <c r="B227" s="687" t="s">
        <v>334</v>
      </c>
      <c r="C227" s="594"/>
      <c r="D227" s="593"/>
      <c r="E227" s="497"/>
      <c r="F227" s="497"/>
    </row>
    <row r="228" spans="1:7" ht="18" customHeight="1" x14ac:dyDescent="0.2">
      <c r="A228" s="690"/>
      <c r="B228" s="688" t="s">
        <v>335</v>
      </c>
      <c r="C228" s="650">
        <f>SUM(C226:C227)</f>
        <v>0</v>
      </c>
      <c r="D228" s="593"/>
      <c r="E228" s="497"/>
      <c r="F228" s="497"/>
    </row>
    <row r="229" spans="1:7" ht="18" customHeight="1" x14ac:dyDescent="0.2">
      <c r="A229" s="497"/>
      <c r="B229" s="497"/>
      <c r="C229" s="497"/>
      <c r="D229" s="593"/>
      <c r="E229" s="593"/>
      <c r="F229" s="593"/>
    </row>
    <row r="230" spans="1:7" ht="18" customHeight="1" x14ac:dyDescent="0.2">
      <c r="A230" s="497"/>
      <c r="B230" s="497"/>
      <c r="C230" s="497"/>
      <c r="D230" s="497"/>
      <c r="E230" s="497"/>
      <c r="F230" s="593"/>
      <c r="G230" s="59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593"/>
      <c r="G231" s="595"/>
    </row>
    <row r="232" spans="1:7" ht="56.25" customHeight="1" x14ac:dyDescent="0.2">
      <c r="A232" s="499" t="s">
        <v>8</v>
      </c>
      <c r="B232" s="499" t="s">
        <v>9</v>
      </c>
      <c r="C232" s="500" t="s">
        <v>10</v>
      </c>
      <c r="D232" s="545" t="s">
        <v>11</v>
      </c>
      <c r="E232" s="501" t="s">
        <v>12</v>
      </c>
      <c r="F232" s="593"/>
      <c r="G232" s="595"/>
    </row>
    <row r="233" spans="1:7" ht="15" customHeight="1" x14ac:dyDescent="0.2">
      <c r="A233" s="668" t="s">
        <v>337</v>
      </c>
      <c r="B233" s="685" t="s">
        <v>338</v>
      </c>
      <c r="C233" s="648">
        <f>+[10]BS17A!$D1941</f>
        <v>159</v>
      </c>
      <c r="D233" s="510">
        <f>+[10]BS17A!$U1941</f>
        <v>19890</v>
      </c>
      <c r="E233" s="579">
        <f>+[10]BS17A!$V1941</f>
        <v>3162510</v>
      </c>
      <c r="F233" s="497"/>
    </row>
    <row r="234" spans="1:7" ht="15" customHeight="1" x14ac:dyDescent="0.2">
      <c r="A234" s="670" t="s">
        <v>339</v>
      </c>
      <c r="B234" s="666" t="s">
        <v>340</v>
      </c>
      <c r="C234" s="649">
        <f>+[10]BS17A!$D1942</f>
        <v>0</v>
      </c>
      <c r="D234" s="512">
        <f>+[10]BS17A!$U1942</f>
        <v>249320</v>
      </c>
      <c r="E234" s="585">
        <f>+[10]BS17A!$V1942</f>
        <v>0</v>
      </c>
      <c r="F234" s="497"/>
    </row>
    <row r="235" spans="1:7" ht="18" customHeight="1" x14ac:dyDescent="0.2">
      <c r="A235" s="676"/>
      <c r="B235" s="675" t="s">
        <v>341</v>
      </c>
      <c r="C235" s="514">
        <f>SUM(C233:C234)</f>
        <v>159</v>
      </c>
      <c r="D235" s="583"/>
      <c r="E235" s="584">
        <f>SUM(E233:E234)</f>
        <v>3162510</v>
      </c>
      <c r="F235" s="497"/>
    </row>
    <row r="236" spans="1:7" ht="18" customHeight="1" x14ac:dyDescent="0.2">
      <c r="A236" s="596"/>
      <c r="B236" s="597"/>
      <c r="C236" s="598"/>
      <c r="D236" s="596"/>
      <c r="E236" s="596"/>
      <c r="F236" s="497"/>
    </row>
    <row r="237" spans="1:7" ht="18" customHeight="1" x14ac:dyDescent="0.2">
      <c r="A237" s="596"/>
      <c r="B237" s="597"/>
      <c r="C237" s="598"/>
      <c r="D237" s="596"/>
      <c r="E237" s="596"/>
      <c r="F237" s="497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497"/>
    </row>
    <row r="239" spans="1:7" ht="41.25" customHeight="1" x14ac:dyDescent="0.2">
      <c r="A239" s="499" t="s">
        <v>8</v>
      </c>
      <c r="B239" s="499" t="s">
        <v>9</v>
      </c>
      <c r="C239" s="500" t="s">
        <v>10</v>
      </c>
      <c r="D239" s="545" t="s">
        <v>11</v>
      </c>
      <c r="E239" s="501" t="s">
        <v>12</v>
      </c>
      <c r="F239" s="497"/>
    </row>
    <row r="240" spans="1:7" ht="18" customHeight="1" x14ac:dyDescent="0.2">
      <c r="A240" s="576" t="s">
        <v>343</v>
      </c>
      <c r="B240" s="522" t="s">
        <v>344</v>
      </c>
      <c r="C240" s="599">
        <f>[10]BS17A!D768</f>
        <v>768</v>
      </c>
      <c r="D240" s="600"/>
      <c r="E240" s="601">
        <f>[10]BS17A!V768</f>
        <v>5593680</v>
      </c>
      <c r="F240" s="497"/>
    </row>
    <row r="241" spans="1:6" ht="18" customHeight="1" x14ac:dyDescent="0.2">
      <c r="A241" s="596"/>
      <c r="B241" s="597"/>
      <c r="C241" s="598"/>
      <c r="D241" s="596"/>
      <c r="E241" s="596"/>
      <c r="F241" s="497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497"/>
    </row>
    <row r="243" spans="1:6" ht="43.5" customHeight="1" x14ac:dyDescent="0.2">
      <c r="A243" s="499" t="s">
        <v>8</v>
      </c>
      <c r="B243" s="500" t="s">
        <v>346</v>
      </c>
      <c r="C243" s="544" t="s">
        <v>347</v>
      </c>
      <c r="D243" s="545" t="s">
        <v>11</v>
      </c>
      <c r="E243" s="501" t="s">
        <v>12</v>
      </c>
      <c r="F243" s="497"/>
    </row>
    <row r="244" spans="1:6" ht="15" customHeight="1" x14ac:dyDescent="0.2">
      <c r="A244" s="509" t="s">
        <v>348</v>
      </c>
      <c r="B244" s="631" t="s">
        <v>349</v>
      </c>
      <c r="C244" s="617">
        <f>+[10]BS17A!$D1944</f>
        <v>0</v>
      </c>
      <c r="D244" s="510">
        <f>+[10]BS17A!$U1944</f>
        <v>254650</v>
      </c>
      <c r="E244" s="579">
        <f>+[10]BS17A!$V1944</f>
        <v>0</v>
      </c>
      <c r="F244" s="497"/>
    </row>
    <row r="245" spans="1:6" ht="15" customHeight="1" x14ac:dyDescent="0.2">
      <c r="A245" s="504" t="s">
        <v>350</v>
      </c>
      <c r="B245" s="632" t="s">
        <v>351</v>
      </c>
      <c r="C245" s="614">
        <f>+[10]BS17A!$D1945</f>
        <v>0</v>
      </c>
      <c r="D245" s="505">
        <f>+[10]BS17A!$U1945</f>
        <v>36180</v>
      </c>
      <c r="E245" s="580">
        <f>+[10]BS17A!$V1945</f>
        <v>0</v>
      </c>
      <c r="F245" s="497"/>
    </row>
    <row r="246" spans="1:6" ht="15" customHeight="1" x14ac:dyDescent="0.2">
      <c r="A246" s="504" t="s">
        <v>352</v>
      </c>
      <c r="B246" s="632" t="s">
        <v>353</v>
      </c>
      <c r="C246" s="614">
        <f>+[10]BS17A!$D1946</f>
        <v>0</v>
      </c>
      <c r="D246" s="505">
        <f>+[10]BS17A!$U1946</f>
        <v>136500</v>
      </c>
      <c r="E246" s="580">
        <f>+[10]BS17A!$V1946</f>
        <v>0</v>
      </c>
      <c r="F246" s="497"/>
    </row>
    <row r="247" spans="1:6" ht="15" customHeight="1" x14ac:dyDescent="0.2">
      <c r="A247" s="504" t="s">
        <v>354</v>
      </c>
      <c r="B247" s="632" t="s">
        <v>355</v>
      </c>
      <c r="C247" s="614">
        <f>+[10]BS17A!$D1947</f>
        <v>0</v>
      </c>
      <c r="D247" s="505">
        <f>+[10]BS17A!$U1947</f>
        <v>136500</v>
      </c>
      <c r="E247" s="580">
        <f>+[10]BS17A!$V1947</f>
        <v>0</v>
      </c>
      <c r="F247" s="497"/>
    </row>
    <row r="248" spans="1:6" ht="15" customHeight="1" x14ac:dyDescent="0.2">
      <c r="A248" s="504" t="s">
        <v>356</v>
      </c>
      <c r="B248" s="632" t="s">
        <v>357</v>
      </c>
      <c r="C248" s="614">
        <f>+[10]BS17A!$D1948</f>
        <v>0</v>
      </c>
      <c r="D248" s="505">
        <f>+[10]BS17A!$U1948</f>
        <v>248500</v>
      </c>
      <c r="E248" s="580">
        <f>+[10]BS17A!$V1948</f>
        <v>0</v>
      </c>
      <c r="F248" s="497"/>
    </row>
    <row r="249" spans="1:6" ht="15" customHeight="1" x14ac:dyDescent="0.2">
      <c r="A249" s="504" t="s">
        <v>358</v>
      </c>
      <c r="B249" s="632" t="s">
        <v>359</v>
      </c>
      <c r="C249" s="614">
        <f>+[10]BS17A!$D1949</f>
        <v>0</v>
      </c>
      <c r="D249" s="505">
        <f>+[10]BS17A!$U1949</f>
        <v>381350</v>
      </c>
      <c r="E249" s="580">
        <f>+[10]BS17A!$V1949</f>
        <v>0</v>
      </c>
      <c r="F249" s="497"/>
    </row>
    <row r="250" spans="1:6" ht="15" customHeight="1" x14ac:dyDescent="0.2">
      <c r="A250" s="504" t="s">
        <v>360</v>
      </c>
      <c r="B250" s="632" t="s">
        <v>361</v>
      </c>
      <c r="C250" s="614">
        <f>+[10]BS17A!$D1950</f>
        <v>0</v>
      </c>
      <c r="D250" s="505">
        <f>+[10]BS17A!$U1950</f>
        <v>650560</v>
      </c>
      <c r="E250" s="580">
        <f>+[10]BS17A!$V1950</f>
        <v>0</v>
      </c>
      <c r="F250" s="497"/>
    </row>
    <row r="251" spans="1:6" ht="15" customHeight="1" x14ac:dyDescent="0.2">
      <c r="A251" s="527" t="s">
        <v>362</v>
      </c>
      <c r="B251" s="632" t="s">
        <v>363</v>
      </c>
      <c r="C251" s="614">
        <f>+[10]BS17A!$D1951</f>
        <v>0</v>
      </c>
      <c r="D251" s="505">
        <f>+[10]BS17A!$U1951</f>
        <v>135500</v>
      </c>
      <c r="E251" s="580">
        <f>+[10]BS17A!$V1951</f>
        <v>0</v>
      </c>
      <c r="F251" s="497"/>
    </row>
    <row r="252" spans="1:6" ht="15" customHeight="1" x14ac:dyDescent="0.2">
      <c r="A252" s="527" t="s">
        <v>364</v>
      </c>
      <c r="B252" s="632" t="s">
        <v>365</v>
      </c>
      <c r="C252" s="614">
        <f>+[10]BS17A!$D1952</f>
        <v>0</v>
      </c>
      <c r="D252" s="505">
        <f>+[10]BS17A!$U1952</f>
        <v>365200</v>
      </c>
      <c r="E252" s="580">
        <f>+[10]BS17A!$V1952</f>
        <v>0</v>
      </c>
      <c r="F252" s="497"/>
    </row>
    <row r="253" spans="1:6" ht="15" customHeight="1" x14ac:dyDescent="0.2">
      <c r="A253" s="527" t="s">
        <v>366</v>
      </c>
      <c r="B253" s="632" t="s">
        <v>367</v>
      </c>
      <c r="C253" s="644">
        <f>+[10]BS17A!$D1953</f>
        <v>0</v>
      </c>
      <c r="D253" s="507">
        <f>+[10]BS17A!$U1953</f>
        <v>153770</v>
      </c>
      <c r="E253" s="602">
        <f>+[10]BS17A!$V1953</f>
        <v>0</v>
      </c>
      <c r="F253" s="497"/>
    </row>
    <row r="254" spans="1:6" ht="15" customHeight="1" x14ac:dyDescent="0.2">
      <c r="A254" s="527" t="s">
        <v>368</v>
      </c>
      <c r="B254" s="632" t="s">
        <v>369</v>
      </c>
      <c r="C254" s="644">
        <f>+[10]BS17A!$D1954</f>
        <v>0</v>
      </c>
      <c r="D254" s="507">
        <f>+[10]BS17A!$U1954</f>
        <v>133620</v>
      </c>
      <c r="E254" s="602">
        <f>+[10]BS17A!$V1954</f>
        <v>0</v>
      </c>
      <c r="F254" s="497"/>
    </row>
    <row r="255" spans="1:6" ht="15" customHeight="1" x14ac:dyDescent="0.2">
      <c r="A255" s="527" t="s">
        <v>370</v>
      </c>
      <c r="B255" s="632" t="s">
        <v>371</v>
      </c>
      <c r="C255" s="644">
        <f>+[10]BS17A!$D1955</f>
        <v>0</v>
      </c>
      <c r="D255" s="507">
        <f>+[10]BS17A!$U1955</f>
        <v>203150</v>
      </c>
      <c r="E255" s="602">
        <f>+[10]BS17A!$V1955</f>
        <v>0</v>
      </c>
      <c r="F255" s="497"/>
    </row>
    <row r="256" spans="1:6" ht="15" customHeight="1" x14ac:dyDescent="0.2">
      <c r="A256" s="527" t="s">
        <v>372</v>
      </c>
      <c r="B256" s="632" t="s">
        <v>373</v>
      </c>
      <c r="C256" s="644">
        <f>+[10]BS17A!$D1956</f>
        <v>0</v>
      </c>
      <c r="D256" s="507">
        <f>+[10]BS17A!$U1956</f>
        <v>53460</v>
      </c>
      <c r="E256" s="602">
        <f>+[10]BS17A!$V1956</f>
        <v>0</v>
      </c>
      <c r="F256" s="497"/>
    </row>
    <row r="257" spans="1:6" ht="15" customHeight="1" x14ac:dyDescent="0.2">
      <c r="A257" s="562" t="s">
        <v>374</v>
      </c>
      <c r="B257" s="643" t="s">
        <v>375</v>
      </c>
      <c r="C257" s="629">
        <f>+[10]BS17A!$D1957</f>
        <v>0</v>
      </c>
      <c r="D257" s="512">
        <f>+[10]BS17A!$U1957</f>
        <v>39950</v>
      </c>
      <c r="E257" s="585">
        <f>+[10]BS17A!$V1957</f>
        <v>0</v>
      </c>
      <c r="F257" s="497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497"/>
    </row>
    <row r="259" spans="1:6" ht="15" customHeight="1" x14ac:dyDescent="0.2">
      <c r="A259" s="668" t="s">
        <v>377</v>
      </c>
      <c r="B259" s="682" t="s">
        <v>349</v>
      </c>
      <c r="C259" s="617">
        <f>+[10]BS17A!$D1958</f>
        <v>0</v>
      </c>
      <c r="D259" s="510">
        <f>+[10]BS17A!$U1958</f>
        <v>219080</v>
      </c>
      <c r="E259" s="579">
        <f>+[10]BS17A!$V1958</f>
        <v>0</v>
      </c>
      <c r="F259" s="497"/>
    </row>
    <row r="260" spans="1:6" ht="15" customHeight="1" x14ac:dyDescent="0.2">
      <c r="A260" s="669" t="s">
        <v>378</v>
      </c>
      <c r="B260" s="683" t="s">
        <v>379</v>
      </c>
      <c r="C260" s="614">
        <f>+[10]BS17A!$D1959</f>
        <v>0</v>
      </c>
      <c r="D260" s="505">
        <f>+[10]BS17A!$U1959</f>
        <v>1303250</v>
      </c>
      <c r="E260" s="580">
        <f>+[10]BS17A!$V1959</f>
        <v>0</v>
      </c>
      <c r="F260" s="497"/>
    </row>
    <row r="261" spans="1:6" ht="15" customHeight="1" x14ac:dyDescent="0.2">
      <c r="A261" s="669" t="s">
        <v>380</v>
      </c>
      <c r="B261" s="683" t="s">
        <v>381</v>
      </c>
      <c r="C261" s="614">
        <f>+[10]BS17A!$D1960</f>
        <v>0</v>
      </c>
      <c r="D261" s="505">
        <f>+[10]BS17A!$U1960</f>
        <v>196630</v>
      </c>
      <c r="E261" s="580">
        <f>+[10]BS17A!$V1960</f>
        <v>0</v>
      </c>
      <c r="F261" s="497"/>
    </row>
    <row r="262" spans="1:6" ht="15" customHeight="1" x14ac:dyDescent="0.2">
      <c r="A262" s="669" t="s">
        <v>382</v>
      </c>
      <c r="B262" s="683" t="s">
        <v>383</v>
      </c>
      <c r="C262" s="614">
        <f>+[10]BS17A!$D1961</f>
        <v>0</v>
      </c>
      <c r="D262" s="505">
        <f>+[10]BS17A!$U1961</f>
        <v>173880</v>
      </c>
      <c r="E262" s="580">
        <f>+[10]BS17A!$V1961</f>
        <v>0</v>
      </c>
      <c r="F262" s="497"/>
    </row>
    <row r="263" spans="1:6" ht="15" customHeight="1" x14ac:dyDescent="0.2">
      <c r="A263" s="669" t="s">
        <v>384</v>
      </c>
      <c r="B263" s="683" t="s">
        <v>385</v>
      </c>
      <c r="C263" s="614">
        <f>+[10]BS17A!$D1962</f>
        <v>0</v>
      </c>
      <c r="D263" s="505">
        <f>+[10]BS17A!$U1962</f>
        <v>352980</v>
      </c>
      <c r="E263" s="580">
        <f>+[10]BS17A!$V1962</f>
        <v>0</v>
      </c>
      <c r="F263" s="497"/>
    </row>
    <row r="264" spans="1:6" ht="15" customHeight="1" x14ac:dyDescent="0.2">
      <c r="A264" s="669" t="s">
        <v>386</v>
      </c>
      <c r="B264" s="683" t="s">
        <v>387</v>
      </c>
      <c r="C264" s="614">
        <f>+[10]BS17A!$D1963</f>
        <v>0</v>
      </c>
      <c r="D264" s="505">
        <f>+[10]BS17A!$U1963</f>
        <v>1173780</v>
      </c>
      <c r="E264" s="580">
        <f>+[10]BS17A!$V1963</f>
        <v>0</v>
      </c>
      <c r="F264" s="497"/>
    </row>
    <row r="265" spans="1:6" ht="15" customHeight="1" x14ac:dyDescent="0.2">
      <c r="A265" s="669" t="s">
        <v>388</v>
      </c>
      <c r="B265" s="683" t="s">
        <v>389</v>
      </c>
      <c r="C265" s="614">
        <f>+[10]BS17A!$D1964</f>
        <v>0</v>
      </c>
      <c r="D265" s="505">
        <f>+[10]BS17A!$U1964</f>
        <v>1206250</v>
      </c>
      <c r="E265" s="580">
        <f>+[10]BS17A!$V1964</f>
        <v>0</v>
      </c>
      <c r="F265" s="497"/>
    </row>
    <row r="266" spans="1:6" ht="15" customHeight="1" x14ac:dyDescent="0.2">
      <c r="A266" s="669" t="s">
        <v>390</v>
      </c>
      <c r="B266" s="683" t="s">
        <v>391</v>
      </c>
      <c r="C266" s="614">
        <f>+[10]BS17A!$D1965</f>
        <v>0</v>
      </c>
      <c r="D266" s="505">
        <f>+[10]BS17A!$U1965</f>
        <v>955090</v>
      </c>
      <c r="E266" s="580">
        <f>+[10]BS17A!$V1965</f>
        <v>0</v>
      </c>
      <c r="F266" s="497"/>
    </row>
    <row r="267" spans="1:6" ht="15" customHeight="1" x14ac:dyDescent="0.2">
      <c r="A267" s="669" t="s">
        <v>392</v>
      </c>
      <c r="B267" s="683" t="s">
        <v>393</v>
      </c>
      <c r="C267" s="614">
        <f>+[10]BS17A!$D1966</f>
        <v>0</v>
      </c>
      <c r="D267" s="505">
        <f>+[10]BS17A!$U1966</f>
        <v>1006570</v>
      </c>
      <c r="E267" s="580">
        <f>+[10]BS17A!$V1966</f>
        <v>0</v>
      </c>
      <c r="F267" s="497"/>
    </row>
    <row r="268" spans="1:6" ht="15" customHeight="1" x14ac:dyDescent="0.2">
      <c r="A268" s="669" t="s">
        <v>394</v>
      </c>
      <c r="B268" s="683" t="s">
        <v>395</v>
      </c>
      <c r="C268" s="614">
        <f>+[10]BS17A!$D1967</f>
        <v>0</v>
      </c>
      <c r="D268" s="505">
        <f>+[10]BS17A!$U1967</f>
        <v>397090</v>
      </c>
      <c r="E268" s="580">
        <f>+[10]BS17A!$V1967</f>
        <v>0</v>
      </c>
      <c r="F268" s="497"/>
    </row>
    <row r="269" spans="1:6" ht="15" customHeight="1" x14ac:dyDescent="0.2">
      <c r="A269" s="669" t="s">
        <v>396</v>
      </c>
      <c r="B269" s="683" t="s">
        <v>397</v>
      </c>
      <c r="C269" s="614">
        <f>+[10]BS17A!$D1968</f>
        <v>0</v>
      </c>
      <c r="D269" s="505">
        <f>+[10]BS17A!$U1968</f>
        <v>95100</v>
      </c>
      <c r="E269" s="580">
        <f>+[10]BS17A!$V1968</f>
        <v>0</v>
      </c>
      <c r="F269" s="497"/>
    </row>
    <row r="270" spans="1:6" ht="15" customHeight="1" x14ac:dyDescent="0.2">
      <c r="A270" s="669" t="s">
        <v>398</v>
      </c>
      <c r="B270" s="683" t="s">
        <v>399</v>
      </c>
      <c r="C270" s="614">
        <f>+[10]BS17A!$D1969</f>
        <v>0</v>
      </c>
      <c r="D270" s="505">
        <f>+[10]BS17A!$U1969</f>
        <v>283710</v>
      </c>
      <c r="E270" s="580">
        <f>+[10]BS17A!$V1969</f>
        <v>0</v>
      </c>
      <c r="F270" s="497"/>
    </row>
    <row r="271" spans="1:6" ht="15" customHeight="1" x14ac:dyDescent="0.2">
      <c r="A271" s="669" t="s">
        <v>400</v>
      </c>
      <c r="B271" s="665" t="s">
        <v>401</v>
      </c>
      <c r="C271" s="614">
        <f>+[10]BS17A!$D1970</f>
        <v>0</v>
      </c>
      <c r="D271" s="505">
        <f>+[10]BS17A!$U1970</f>
        <v>80220</v>
      </c>
      <c r="E271" s="580">
        <f>+[10]BS17A!$V1970</f>
        <v>0</v>
      </c>
      <c r="F271" s="497"/>
    </row>
    <row r="272" spans="1:6" ht="15" customHeight="1" x14ac:dyDescent="0.2">
      <c r="A272" s="669" t="s">
        <v>402</v>
      </c>
      <c r="B272" s="665" t="s">
        <v>403</v>
      </c>
      <c r="C272" s="614">
        <f>+[10]BS17A!$D1971</f>
        <v>0</v>
      </c>
      <c r="D272" s="505">
        <f>+[10]BS17A!$U1971</f>
        <v>1378400</v>
      </c>
      <c r="E272" s="580">
        <f>+[10]BS17A!$V1971</f>
        <v>0</v>
      </c>
      <c r="F272" s="497"/>
    </row>
    <row r="273" spans="1:10" ht="15" customHeight="1" x14ac:dyDescent="0.2">
      <c r="A273" s="669" t="s">
        <v>404</v>
      </c>
      <c r="B273" s="665" t="s">
        <v>405</v>
      </c>
      <c r="C273" s="614">
        <f>+[10]BS17A!$D1972</f>
        <v>0</v>
      </c>
      <c r="D273" s="505">
        <f>+[10]BS17A!$U1972</f>
        <v>322300</v>
      </c>
      <c r="E273" s="580">
        <f>+[10]BS17A!$V1972</f>
        <v>0</v>
      </c>
      <c r="F273" s="497"/>
    </row>
    <row r="274" spans="1:10" ht="15" customHeight="1" x14ac:dyDescent="0.2">
      <c r="A274" s="669" t="s">
        <v>406</v>
      </c>
      <c r="B274" s="665" t="s">
        <v>407</v>
      </c>
      <c r="C274" s="614">
        <f>+[10]BS17A!$D1973</f>
        <v>0</v>
      </c>
      <c r="D274" s="505">
        <f>+[10]BS17A!$U1973</f>
        <v>1079720</v>
      </c>
      <c r="E274" s="580">
        <f>+[10]BS17A!$V1973</f>
        <v>0</v>
      </c>
      <c r="F274" s="497"/>
    </row>
    <row r="275" spans="1:10" ht="15" customHeight="1" x14ac:dyDescent="0.2">
      <c r="A275" s="669" t="s">
        <v>408</v>
      </c>
      <c r="B275" s="684" t="s">
        <v>409</v>
      </c>
      <c r="C275" s="614">
        <f>+[10]BS17A!$D1974</f>
        <v>0</v>
      </c>
      <c r="D275" s="505">
        <f>+[10]BS17A!$U1974</f>
        <v>661000</v>
      </c>
      <c r="E275" s="580">
        <f>+[10]BS17A!$V1974</f>
        <v>0</v>
      </c>
      <c r="F275" s="497"/>
    </row>
    <row r="276" spans="1:10" ht="15" customHeight="1" x14ac:dyDescent="0.2">
      <c r="A276" s="670" t="s">
        <v>410</v>
      </c>
      <c r="B276" s="684" t="s">
        <v>411</v>
      </c>
      <c r="C276" s="629">
        <f>+[10]BS17A!$D1975</f>
        <v>0</v>
      </c>
      <c r="D276" s="507">
        <f>+[10]BS17A!$U1975</f>
        <v>539420</v>
      </c>
      <c r="E276" s="602">
        <f>+[10]BS17A!$V1975</f>
        <v>0</v>
      </c>
      <c r="F276" s="497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497"/>
    </row>
    <row r="278" spans="1:10" ht="15" customHeight="1" x14ac:dyDescent="0.2">
      <c r="A278" s="668" t="s">
        <v>413</v>
      </c>
      <c r="B278" s="677" t="s">
        <v>414</v>
      </c>
      <c r="C278" s="646">
        <f>+[10]BS17A!$D1976</f>
        <v>0</v>
      </c>
      <c r="D278" s="502">
        <f>[10]BS17A!U1976</f>
        <v>290780</v>
      </c>
      <c r="E278" s="603">
        <f>+[10]BS17A!$V1976</f>
        <v>0</v>
      </c>
      <c r="F278" s="497"/>
    </row>
    <row r="279" spans="1:10" ht="15" customHeight="1" x14ac:dyDescent="0.2">
      <c r="A279" s="669" t="s">
        <v>415</v>
      </c>
      <c r="B279" s="665" t="s">
        <v>416</v>
      </c>
      <c r="C279" s="614">
        <f>+[10]BS17A!$D1977</f>
        <v>0</v>
      </c>
      <c r="D279" s="505">
        <f>[10]BS17A!U1977</f>
        <v>169530</v>
      </c>
      <c r="E279" s="580">
        <f>+[10]BS17A!$V1977</f>
        <v>0</v>
      </c>
      <c r="F279" s="497"/>
    </row>
    <row r="280" spans="1:10" ht="15" customHeight="1" x14ac:dyDescent="0.2">
      <c r="A280" s="669" t="s">
        <v>417</v>
      </c>
      <c r="B280" s="665" t="s">
        <v>418</v>
      </c>
      <c r="C280" s="614">
        <f>+[10]BS17A!$D1978</f>
        <v>0</v>
      </c>
      <c r="D280" s="505">
        <f>[10]BS17A!U1978</f>
        <v>409630</v>
      </c>
      <c r="E280" s="580">
        <f>+[10]BS17A!$V1978</f>
        <v>0</v>
      </c>
      <c r="F280" s="497"/>
    </row>
    <row r="281" spans="1:10" ht="15" customHeight="1" x14ac:dyDescent="0.2">
      <c r="A281" s="669" t="s">
        <v>419</v>
      </c>
      <c r="B281" s="665" t="s">
        <v>420</v>
      </c>
      <c r="C281" s="614">
        <f>+[10]BS17A!$D1979</f>
        <v>0</v>
      </c>
      <c r="D281" s="505">
        <f>[10]BS17A!U1979</f>
        <v>424500</v>
      </c>
      <c r="E281" s="580">
        <f>+[10]BS17A!$V1979</f>
        <v>0</v>
      </c>
      <c r="F281" s="497"/>
    </row>
    <row r="282" spans="1:10" ht="15" customHeight="1" x14ac:dyDescent="0.2">
      <c r="A282" s="670" t="s">
        <v>421</v>
      </c>
      <c r="B282" s="678" t="s">
        <v>422</v>
      </c>
      <c r="C282" s="629">
        <f>+[10]BS17A!$D1980</f>
        <v>0</v>
      </c>
      <c r="D282" s="512">
        <f>[10]BS17A!U1980</f>
        <v>265260</v>
      </c>
      <c r="E282" s="585">
        <f>+[10]BS17A!$V1980</f>
        <v>0</v>
      </c>
      <c r="F282" s="604"/>
    </row>
    <row r="283" spans="1:10" ht="15" customHeight="1" x14ac:dyDescent="0.2">
      <c r="A283" s="681" t="s">
        <v>423</v>
      </c>
      <c r="B283" s="679" t="s">
        <v>424</v>
      </c>
      <c r="C283" s="647">
        <f>+[10]BS17A!$D1981</f>
        <v>71</v>
      </c>
      <c r="D283" s="605">
        <f>[10]BS17A!U1981</f>
        <v>36070</v>
      </c>
      <c r="E283" s="601">
        <f>+[10]BS17A!$V1981</f>
        <v>2560970</v>
      </c>
      <c r="F283" s="604"/>
    </row>
    <row r="284" spans="1:10" ht="15" customHeight="1" x14ac:dyDescent="0.2">
      <c r="A284" s="676"/>
      <c r="B284" s="680" t="s">
        <v>425</v>
      </c>
      <c r="C284" s="514">
        <f>SUM(C244:C283)</f>
        <v>71</v>
      </c>
      <c r="D284" s="583"/>
      <c r="E284" s="584">
        <f>SUM(E244:E283)</f>
        <v>2560970</v>
      </c>
      <c r="F284" s="604"/>
    </row>
    <row r="285" spans="1:10" ht="18" customHeight="1" x14ac:dyDescent="0.2">
      <c r="A285" s="596"/>
      <c r="B285" s="497"/>
      <c r="C285" s="497"/>
      <c r="D285" s="596"/>
      <c r="E285" s="596"/>
      <c r="F285" s="497"/>
    </row>
    <row r="286" spans="1:10" ht="18" customHeight="1" x14ac:dyDescent="0.2">
      <c r="A286" s="596"/>
      <c r="B286" s="598"/>
      <c r="C286" s="598"/>
      <c r="D286" s="596"/>
      <c r="E286" s="596"/>
      <c r="F286" s="606"/>
      <c r="G286" s="607"/>
      <c r="J286" s="608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497"/>
    </row>
    <row r="288" spans="1:10" ht="44.25" customHeight="1" x14ac:dyDescent="0.2">
      <c r="A288" s="499" t="s">
        <v>8</v>
      </c>
      <c r="B288" s="499" t="s">
        <v>426</v>
      </c>
      <c r="C288" s="500" t="s">
        <v>347</v>
      </c>
      <c r="D288" s="545" t="s">
        <v>11</v>
      </c>
      <c r="E288" s="501" t="s">
        <v>12</v>
      </c>
      <c r="F288" s="604"/>
    </row>
    <row r="289" spans="1:7" ht="15" customHeight="1" x14ac:dyDescent="0.2">
      <c r="A289" s="668" t="s">
        <v>427</v>
      </c>
      <c r="B289" s="672" t="s">
        <v>428</v>
      </c>
      <c r="C289" s="617">
        <f>+[10]BS17A!$D1983</f>
        <v>4</v>
      </c>
      <c r="D289" s="510">
        <f>+[10]BS17A!$U1983</f>
        <v>7100</v>
      </c>
      <c r="E289" s="579">
        <f>+[10]BS17A!$V1983</f>
        <v>28400</v>
      </c>
      <c r="F289" s="497"/>
    </row>
    <row r="290" spans="1:7" ht="15" customHeight="1" x14ac:dyDescent="0.2">
      <c r="A290" s="669" t="s">
        <v>429</v>
      </c>
      <c r="B290" s="673" t="s">
        <v>430</v>
      </c>
      <c r="C290" s="614">
        <f>+[10]BS17A!$D1984</f>
        <v>0</v>
      </c>
      <c r="D290" s="505">
        <f>+[10]BS17A!$U1984</f>
        <v>3780</v>
      </c>
      <c r="E290" s="580">
        <f>+[10]BS17A!$V1984</f>
        <v>0</v>
      </c>
      <c r="F290" s="497"/>
    </row>
    <row r="291" spans="1:7" ht="15" customHeight="1" x14ac:dyDescent="0.2">
      <c r="A291" s="669" t="s">
        <v>431</v>
      </c>
      <c r="B291" s="673" t="s">
        <v>432</v>
      </c>
      <c r="C291" s="614">
        <f>+[10]BS17A!$D1985</f>
        <v>1</v>
      </c>
      <c r="D291" s="505">
        <f>+[10]BS17A!$U1985</f>
        <v>14240</v>
      </c>
      <c r="E291" s="580">
        <f>+[10]BS17A!$V1985</f>
        <v>14240</v>
      </c>
      <c r="F291" s="497"/>
    </row>
    <row r="292" spans="1:7" ht="15" customHeight="1" x14ac:dyDescent="0.2">
      <c r="A292" s="669" t="s">
        <v>433</v>
      </c>
      <c r="B292" s="673" t="s">
        <v>434</v>
      </c>
      <c r="C292" s="614">
        <f>+[10]BS17A!$D1986</f>
        <v>0</v>
      </c>
      <c r="D292" s="505">
        <f>+[10]BS17A!$U1986</f>
        <v>146040</v>
      </c>
      <c r="E292" s="580">
        <f>+[10]BS17A!$V1986</f>
        <v>0</v>
      </c>
      <c r="F292" s="497"/>
    </row>
    <row r="293" spans="1:7" ht="15" customHeight="1" x14ac:dyDescent="0.2">
      <c r="A293" s="670" t="s">
        <v>435</v>
      </c>
      <c r="B293" s="674" t="s">
        <v>436</v>
      </c>
      <c r="C293" s="629">
        <f>+[10]BS17A!$D1987</f>
        <v>0</v>
      </c>
      <c r="D293" s="512">
        <f>+[10]BS17A!$U1987</f>
        <v>802130</v>
      </c>
      <c r="E293" s="585">
        <f>+[10]BS17A!$V1987</f>
        <v>0</v>
      </c>
      <c r="F293" s="497"/>
    </row>
    <row r="294" spans="1:7" ht="15" customHeight="1" x14ac:dyDescent="0.2">
      <c r="A294" s="676"/>
      <c r="B294" s="675" t="s">
        <v>437</v>
      </c>
      <c r="C294" s="551">
        <f>SUM(C289:C293)</f>
        <v>5</v>
      </c>
      <c r="D294" s="523"/>
      <c r="E294" s="552">
        <f>SUM(E289:E293)</f>
        <v>42640</v>
      </c>
      <c r="F294" s="497"/>
    </row>
    <row r="295" spans="1:7" ht="18" customHeight="1" x14ac:dyDescent="0.2">
      <c r="A295" s="596"/>
      <c r="B295" s="598"/>
      <c r="C295" s="596"/>
      <c r="D295" s="596"/>
      <c r="E295" s="596"/>
      <c r="F295" s="497"/>
    </row>
    <row r="296" spans="1:7" ht="18" customHeight="1" x14ac:dyDescent="0.2">
      <c r="A296" s="596"/>
      <c r="B296" s="598"/>
      <c r="C296" s="596"/>
      <c r="D296" s="596"/>
      <c r="E296" s="596"/>
      <c r="F296" s="609"/>
      <c r="G296" s="498"/>
    </row>
    <row r="297" spans="1:7" ht="12.75" x14ac:dyDescent="0.2">
      <c r="A297" s="756" t="s">
        <v>438</v>
      </c>
      <c r="B297" s="757"/>
      <c r="C297" s="757"/>
      <c r="D297" s="757"/>
      <c r="E297" s="758"/>
      <c r="F297" s="610"/>
      <c r="G297" s="498"/>
    </row>
    <row r="298" spans="1:7" ht="42.75" customHeight="1" x14ac:dyDescent="0.2">
      <c r="A298" s="499" t="s">
        <v>8</v>
      </c>
      <c r="B298" s="641" t="s">
        <v>438</v>
      </c>
      <c r="C298" s="642" t="s">
        <v>439</v>
      </c>
      <c r="D298" s="545" t="s">
        <v>11</v>
      </c>
      <c r="E298" s="501" t="s">
        <v>12</v>
      </c>
      <c r="F298" s="610"/>
      <c r="G298" s="498"/>
    </row>
    <row r="299" spans="1:7" ht="15" customHeight="1" x14ac:dyDescent="0.2">
      <c r="A299" s="668" t="s">
        <v>440</v>
      </c>
      <c r="B299" s="663" t="s">
        <v>441</v>
      </c>
      <c r="C299" s="617">
        <f>+[10]BS17A!$D1863</f>
        <v>195</v>
      </c>
      <c r="D299" s="510">
        <f>+[10]BS17A!$U1863</f>
        <v>18980</v>
      </c>
      <c r="E299" s="579">
        <f>+[10]BS17A!$V1863</f>
        <v>3701100</v>
      </c>
      <c r="F299" s="497"/>
    </row>
    <row r="300" spans="1:7" ht="15" customHeight="1" x14ac:dyDescent="0.2">
      <c r="A300" s="669" t="s">
        <v>442</v>
      </c>
      <c r="B300" s="664" t="s">
        <v>443</v>
      </c>
      <c r="C300" s="614">
        <f>+[10]BS17A!$D1864</f>
        <v>173</v>
      </c>
      <c r="D300" s="505">
        <f>+[10]BS17A!$U1864</f>
        <v>59710</v>
      </c>
      <c r="E300" s="580">
        <f>+[10]BS17A!$V1864</f>
        <v>10329830</v>
      </c>
      <c r="F300" s="497"/>
    </row>
    <row r="301" spans="1:7" ht="15" customHeight="1" x14ac:dyDescent="0.2">
      <c r="A301" s="669" t="s">
        <v>444</v>
      </c>
      <c r="B301" s="664" t="s">
        <v>445</v>
      </c>
      <c r="C301" s="614">
        <f>+[10]BS17A!$D1865</f>
        <v>1</v>
      </c>
      <c r="D301" s="505">
        <f>+[10]BS17A!$U1865</f>
        <v>74020</v>
      </c>
      <c r="E301" s="580">
        <f>+[10]BS17A!$V1865</f>
        <v>74020</v>
      </c>
      <c r="F301" s="497"/>
    </row>
    <row r="302" spans="1:7" ht="15" customHeight="1" x14ac:dyDescent="0.2">
      <c r="A302" s="669" t="s">
        <v>446</v>
      </c>
      <c r="B302" s="664" t="s">
        <v>447</v>
      </c>
      <c r="C302" s="614">
        <f>+[10]BS17A!$D1866</f>
        <v>200</v>
      </c>
      <c r="D302" s="505">
        <f>+[10]BS17A!$U1866</f>
        <v>2600</v>
      </c>
      <c r="E302" s="580">
        <f>+[10]BS17A!$V1866</f>
        <v>520000</v>
      </c>
      <c r="F302" s="497"/>
    </row>
    <row r="303" spans="1:7" ht="15" customHeight="1" x14ac:dyDescent="0.2">
      <c r="A303" s="669" t="s">
        <v>448</v>
      </c>
      <c r="B303" s="664" t="s">
        <v>449</v>
      </c>
      <c r="C303" s="614">
        <f>+[10]BS17A!$D1867</f>
        <v>0</v>
      </c>
      <c r="D303" s="505">
        <f>+[10]BS17A!$U1867</f>
        <v>70</v>
      </c>
      <c r="E303" s="580">
        <f>+[10]BS17A!$V1867</f>
        <v>0</v>
      </c>
      <c r="F303" s="497"/>
    </row>
    <row r="304" spans="1:7" ht="15" customHeight="1" x14ac:dyDescent="0.2">
      <c r="A304" s="669" t="s">
        <v>450</v>
      </c>
      <c r="B304" s="665" t="s">
        <v>451</v>
      </c>
      <c r="C304" s="614">
        <f>+[10]BS17A!$D1868</f>
        <v>0</v>
      </c>
      <c r="D304" s="505">
        <f>+[10]BS17A!$U1868</f>
        <v>157140</v>
      </c>
      <c r="E304" s="580">
        <f>+[10]BS17A!$V1868</f>
        <v>0</v>
      </c>
      <c r="F304" s="497"/>
    </row>
    <row r="305" spans="1:7" ht="15" customHeight="1" x14ac:dyDescent="0.2">
      <c r="A305" s="670" t="s">
        <v>452</v>
      </c>
      <c r="B305" s="666" t="s">
        <v>453</v>
      </c>
      <c r="C305" s="629">
        <f>+[10]BS17A!$D1869</f>
        <v>0</v>
      </c>
      <c r="D305" s="512">
        <f>+[10]BS17A!$U1869</f>
        <v>10680</v>
      </c>
      <c r="E305" s="585">
        <f>+[10]BS17A!$V1869</f>
        <v>0</v>
      </c>
      <c r="F305" s="497"/>
    </row>
    <row r="306" spans="1:7" ht="15" customHeight="1" x14ac:dyDescent="0.2">
      <c r="A306" s="671"/>
      <c r="B306" s="771" t="s">
        <v>454</v>
      </c>
      <c r="C306" s="772"/>
      <c r="D306" s="600"/>
      <c r="E306" s="611">
        <f>SUM(E299:E305)</f>
        <v>14624950</v>
      </c>
      <c r="F306" s="497"/>
    </row>
    <row r="307" spans="1:7" ht="12.75" x14ac:dyDescent="0.2">
      <c r="A307" s="497"/>
      <c r="B307" s="497"/>
      <c r="C307" s="497"/>
      <c r="D307" s="497"/>
      <c r="E307" s="497"/>
      <c r="F307" s="593"/>
      <c r="G307" s="595"/>
    </row>
    <row r="308" spans="1:7" ht="12.75" x14ac:dyDescent="0.2">
      <c r="A308" s="497"/>
      <c r="B308" s="497"/>
      <c r="C308" s="497"/>
      <c r="D308" s="497"/>
      <c r="E308" s="497"/>
      <c r="F308" s="593"/>
      <c r="G308" s="595"/>
    </row>
    <row r="309" spans="1:7" ht="12.75" x14ac:dyDescent="0.2">
      <c r="A309" s="745" t="s">
        <v>455</v>
      </c>
      <c r="B309" s="746"/>
      <c r="C309" s="746"/>
      <c r="D309" s="746"/>
      <c r="E309" s="747"/>
      <c r="F309" s="593"/>
      <c r="G309" s="595"/>
    </row>
    <row r="310" spans="1:7" ht="12.75" x14ac:dyDescent="0.2">
      <c r="A310" s="542"/>
      <c r="B310" s="768" t="s">
        <v>456</v>
      </c>
      <c r="C310" s="769"/>
      <c r="D310" s="770"/>
      <c r="E310" s="612">
        <f>+E235+E240+E284+E294+E306</f>
        <v>25984750</v>
      </c>
      <c r="F310" s="497"/>
    </row>
    <row r="311" spans="1:7" ht="12.75" x14ac:dyDescent="0.2">
      <c r="A311" s="497"/>
      <c r="B311" s="497"/>
      <c r="C311" s="497"/>
      <c r="D311" s="497"/>
      <c r="E311" s="497"/>
      <c r="F311" s="593"/>
      <c r="G311" s="595"/>
    </row>
    <row r="312" spans="1:7" ht="12.75" x14ac:dyDescent="0.2">
      <c r="A312" s="497"/>
      <c r="B312" s="497"/>
      <c r="C312" s="497"/>
      <c r="D312" s="497"/>
      <c r="E312" s="497"/>
      <c r="F312" s="593"/>
      <c r="G312" s="595"/>
    </row>
    <row r="313" spans="1:7" ht="12.75" x14ac:dyDescent="0.2">
      <c r="A313" s="745" t="s">
        <v>457</v>
      </c>
      <c r="B313" s="746"/>
      <c r="C313" s="746"/>
      <c r="D313" s="746"/>
      <c r="E313" s="747"/>
      <c r="F313" s="593"/>
      <c r="G313" s="595"/>
    </row>
    <row r="314" spans="1:7" ht="25.5" x14ac:dyDescent="0.2">
      <c r="A314" s="756" t="s">
        <v>458</v>
      </c>
      <c r="B314" s="757"/>
      <c r="C314" s="757"/>
      <c r="D314" s="758"/>
      <c r="E314" s="499" t="s">
        <v>12</v>
      </c>
      <c r="F314" s="593"/>
      <c r="G314" s="595"/>
    </row>
    <row r="315" spans="1:7" ht="15" customHeight="1" x14ac:dyDescent="0.2">
      <c r="A315" s="542"/>
      <c r="B315" s="768" t="s">
        <v>459</v>
      </c>
      <c r="C315" s="769"/>
      <c r="D315" s="770"/>
      <c r="E315" s="612">
        <f>+E50+E76+E84+F109+E116+C121+E148+E155+E168+E207+E221+C228+E310</f>
        <v>500611510</v>
      </c>
      <c r="F315" s="593"/>
      <c r="G315" s="595"/>
    </row>
    <row r="316" spans="1:7" ht="18" customHeight="1" x14ac:dyDescent="0.2">
      <c r="A316" s="497"/>
      <c r="B316" s="497"/>
      <c r="C316" s="497"/>
      <c r="D316" s="497"/>
      <c r="E316" s="497"/>
      <c r="F316" s="494"/>
    </row>
    <row r="317" spans="1:7" ht="18" customHeight="1" x14ac:dyDescent="0.2">
      <c r="A317" s="497"/>
      <c r="B317" s="497"/>
      <c r="C317" s="497"/>
      <c r="D317" s="497"/>
      <c r="E317" s="497"/>
      <c r="F317" s="494"/>
    </row>
    <row r="318" spans="1:7" ht="18" customHeight="1" x14ac:dyDescent="0.2">
      <c r="A318" s="745" t="s">
        <v>460</v>
      </c>
      <c r="B318" s="746"/>
      <c r="C318" s="747"/>
      <c r="D318" s="497"/>
      <c r="E318" s="497"/>
      <c r="F318" s="494"/>
    </row>
    <row r="319" spans="1:7" ht="18" customHeight="1" x14ac:dyDescent="0.2">
      <c r="A319" s="756" t="s">
        <v>461</v>
      </c>
      <c r="B319" s="757"/>
      <c r="C319" s="758"/>
      <c r="D319" s="497"/>
      <c r="E319" s="497"/>
      <c r="F319" s="494"/>
    </row>
    <row r="320" spans="1:7" ht="30.75" customHeight="1" x14ac:dyDescent="0.2">
      <c r="A320" s="745" t="s">
        <v>462</v>
      </c>
      <c r="B320" s="746"/>
      <c r="C320" s="499" t="s">
        <v>463</v>
      </c>
      <c r="D320" s="497"/>
      <c r="E320" s="497"/>
      <c r="F320" s="497"/>
    </row>
    <row r="321" spans="1:6" ht="15" customHeight="1" x14ac:dyDescent="0.2">
      <c r="A321" s="613" t="s">
        <v>464</v>
      </c>
      <c r="B321" s="631"/>
      <c r="C321" s="637"/>
      <c r="D321" s="497"/>
      <c r="E321" s="497"/>
      <c r="F321" s="497"/>
    </row>
    <row r="322" spans="1:6" ht="15" customHeight="1" x14ac:dyDescent="0.2">
      <c r="A322" s="614" t="s">
        <v>465</v>
      </c>
      <c r="B322" s="632"/>
      <c r="C322" s="638"/>
      <c r="D322" s="497"/>
      <c r="E322" s="497"/>
      <c r="F322" s="497"/>
    </row>
    <row r="323" spans="1:6" ht="15" customHeight="1" x14ac:dyDescent="0.2">
      <c r="A323" s="614" t="s">
        <v>466</v>
      </c>
      <c r="B323" s="632"/>
      <c r="C323" s="638"/>
      <c r="D323" s="497"/>
      <c r="E323" s="497"/>
      <c r="F323" s="497"/>
    </row>
    <row r="324" spans="1:6" ht="15" customHeight="1" x14ac:dyDescent="0.2">
      <c r="A324" s="615" t="s">
        <v>467</v>
      </c>
      <c r="B324" s="632"/>
      <c r="C324" s="638"/>
      <c r="D324" s="497"/>
      <c r="E324" s="497"/>
      <c r="F324" s="497"/>
    </row>
    <row r="325" spans="1:6" ht="15" customHeight="1" x14ac:dyDescent="0.2">
      <c r="A325" s="616" t="s">
        <v>468</v>
      </c>
      <c r="B325" s="633"/>
      <c r="C325" s="639">
        <f>SUM(C321:C324)</f>
        <v>0</v>
      </c>
      <c r="D325" s="497"/>
      <c r="E325" s="497"/>
      <c r="F325" s="497"/>
    </row>
    <row r="326" spans="1:6" ht="15" customHeight="1" x14ac:dyDescent="0.2">
      <c r="A326" s="617" t="s">
        <v>469</v>
      </c>
      <c r="B326" s="634"/>
      <c r="C326" s="637">
        <v>15027610</v>
      </c>
      <c r="D326" s="497"/>
      <c r="E326" s="497"/>
      <c r="F326" s="497"/>
    </row>
    <row r="327" spans="1:6" ht="15" customHeight="1" x14ac:dyDescent="0.2">
      <c r="A327" s="618" t="s">
        <v>470</v>
      </c>
      <c r="B327" s="635"/>
      <c r="C327" s="638"/>
      <c r="D327" s="497"/>
      <c r="E327" s="497"/>
      <c r="F327" s="497"/>
    </row>
    <row r="328" spans="1:6" ht="15" customHeight="1" x14ac:dyDescent="0.2">
      <c r="A328" s="614" t="s">
        <v>471</v>
      </c>
      <c r="B328" s="635"/>
      <c r="C328" s="638"/>
      <c r="D328" s="497"/>
      <c r="E328" s="497"/>
      <c r="F328" s="497"/>
    </row>
    <row r="329" spans="1:6" ht="15" customHeight="1" x14ac:dyDescent="0.2">
      <c r="A329" s="614" t="s">
        <v>472</v>
      </c>
      <c r="B329" s="635"/>
      <c r="C329" s="638"/>
      <c r="D329" s="497"/>
      <c r="E329" s="497"/>
      <c r="F329" s="497"/>
    </row>
    <row r="330" spans="1:6" ht="15" customHeight="1" x14ac:dyDescent="0.2">
      <c r="A330" s="618" t="s">
        <v>473</v>
      </c>
      <c r="B330" s="635"/>
      <c r="C330" s="638"/>
      <c r="D330" s="497"/>
      <c r="E330" s="497"/>
      <c r="F330" s="497"/>
    </row>
    <row r="331" spans="1:6" ht="15" customHeight="1" x14ac:dyDescent="0.2">
      <c r="A331" s="618" t="s">
        <v>474</v>
      </c>
      <c r="B331" s="635"/>
      <c r="C331" s="638"/>
      <c r="D331" s="497"/>
      <c r="E331" s="497"/>
      <c r="F331" s="497"/>
    </row>
    <row r="332" spans="1:6" ht="15" customHeight="1" x14ac:dyDescent="0.2">
      <c r="A332" s="619" t="s">
        <v>475</v>
      </c>
      <c r="B332" s="636"/>
      <c r="C332" s="640">
        <v>293340132</v>
      </c>
      <c r="D332" s="497"/>
      <c r="E332" s="497"/>
      <c r="F332" s="497"/>
    </row>
    <row r="333" spans="1:6" ht="15" customHeight="1" x14ac:dyDescent="0.2">
      <c r="A333" s="514"/>
      <c r="B333" s="630" t="s">
        <v>476</v>
      </c>
      <c r="C333" s="589">
        <f>SUM(C325:C332)</f>
        <v>308367742</v>
      </c>
      <c r="D333" s="497"/>
      <c r="E333" s="497"/>
      <c r="F333" s="497"/>
    </row>
    <row r="334" spans="1:6" ht="12.75" x14ac:dyDescent="0.2">
      <c r="A334" s="497"/>
      <c r="B334" s="497"/>
      <c r="C334" s="497"/>
      <c r="D334" s="497"/>
      <c r="E334" s="497"/>
      <c r="F334" s="494"/>
    </row>
    <row r="335" spans="1:6" ht="12.75" x14ac:dyDescent="0.2">
      <c r="A335" s="497"/>
      <c r="B335" s="497"/>
      <c r="C335" s="497"/>
      <c r="D335" s="497"/>
      <c r="E335" s="497"/>
      <c r="F335" s="494"/>
    </row>
    <row r="336" spans="1:6" ht="12.75" x14ac:dyDescent="0.2">
      <c r="A336" s="497"/>
      <c r="B336" s="497"/>
      <c r="C336" s="497"/>
      <c r="D336" s="497"/>
      <c r="E336" s="497"/>
      <c r="F336" s="494"/>
    </row>
    <row r="337" spans="1:6" ht="12.75" x14ac:dyDescent="0.2">
      <c r="A337" s="596"/>
      <c r="B337" s="596"/>
      <c r="C337" s="596"/>
      <c r="D337" s="596"/>
      <c r="E337" s="596"/>
      <c r="F337" s="609"/>
    </row>
    <row r="338" spans="1:6" ht="12.75" x14ac:dyDescent="0.2">
      <c r="A338" s="596"/>
      <c r="B338" s="596"/>
      <c r="C338" s="596"/>
      <c r="D338" s="596"/>
      <c r="E338" s="774" t="str">
        <f>[10]NOMBRE!B12</f>
        <v>Sra. María Inés Núñez González</v>
      </c>
      <c r="F338" s="774"/>
    </row>
    <row r="339" spans="1:6" ht="12.75" x14ac:dyDescent="0.2">
      <c r="A339" s="596"/>
      <c r="B339" s="596"/>
      <c r="C339" s="596"/>
      <c r="D339" s="598"/>
      <c r="E339" s="773" t="str">
        <f>[10]NOMBRE!A12</f>
        <v>Jefe de Estadisticas</v>
      </c>
      <c r="F339" s="773"/>
    </row>
    <row r="340" spans="1:6" ht="12.75" x14ac:dyDescent="0.2">
      <c r="A340" s="596"/>
      <c r="B340" s="596"/>
      <c r="C340" s="596"/>
      <c r="D340" s="596"/>
      <c r="E340" s="620"/>
      <c r="F340" s="621"/>
    </row>
    <row r="341" spans="1:6" ht="12.75" x14ac:dyDescent="0.2">
      <c r="A341" s="596"/>
      <c r="B341" s="596"/>
      <c r="C341" s="596"/>
      <c r="D341" s="596"/>
      <c r="E341" s="621"/>
      <c r="F341" s="621"/>
    </row>
    <row r="342" spans="1:6" ht="12.75" x14ac:dyDescent="0.2">
      <c r="A342" s="596"/>
      <c r="B342" s="596"/>
      <c r="C342" s="596"/>
      <c r="D342" s="596"/>
      <c r="E342" s="621"/>
      <c r="F342" s="621"/>
    </row>
    <row r="343" spans="1:6" ht="12.75" x14ac:dyDescent="0.2">
      <c r="A343" s="596"/>
      <c r="B343" s="596"/>
      <c r="C343" s="596"/>
      <c r="D343" s="596"/>
      <c r="E343" s="621"/>
      <c r="F343" s="621"/>
    </row>
    <row r="344" spans="1:6" ht="12.75" x14ac:dyDescent="0.2">
      <c r="A344" s="596"/>
      <c r="B344" s="596"/>
      <c r="C344" s="596"/>
      <c r="D344" s="596"/>
      <c r="E344" s="621"/>
      <c r="F344" s="621"/>
    </row>
    <row r="345" spans="1:6" ht="12.75" x14ac:dyDescent="0.2">
      <c r="A345" s="596"/>
      <c r="B345" s="596"/>
      <c r="C345" s="596"/>
      <c r="D345" s="596"/>
      <c r="E345" s="621"/>
      <c r="F345" s="621"/>
    </row>
    <row r="346" spans="1:6" ht="12.75" x14ac:dyDescent="0.2">
      <c r="A346" s="596"/>
      <c r="B346" s="596"/>
      <c r="C346" s="596"/>
      <c r="D346" s="596"/>
      <c r="E346" s="621"/>
      <c r="F346" s="621"/>
    </row>
    <row r="347" spans="1:6" ht="12.75" x14ac:dyDescent="0.2">
      <c r="A347" s="596"/>
      <c r="B347" s="596"/>
      <c r="C347" s="596"/>
      <c r="D347" s="596"/>
      <c r="E347" s="774" t="str">
        <f>[10]NOMBRE!B11</f>
        <v>Dr. Francisco Martínez Cavalla</v>
      </c>
      <c r="F347" s="774"/>
    </row>
    <row r="348" spans="1:6" ht="22.5" customHeight="1" x14ac:dyDescent="0.2">
      <c r="A348" s="596"/>
      <c r="B348" s="596"/>
      <c r="C348" s="596"/>
      <c r="D348" s="609"/>
      <c r="E348" s="773" t="str">
        <f>CONCATENATE("Director ",[10]NOMBRE!B1)</f>
        <v xml:space="preserve">Director </v>
      </c>
      <c r="F348" s="773"/>
    </row>
    <row r="349" spans="1:6" ht="12.75" x14ac:dyDescent="0.2">
      <c r="A349" s="596"/>
      <c r="B349" s="596"/>
      <c r="C349" s="596"/>
      <c r="D349" s="622"/>
      <c r="E349" s="596"/>
      <c r="F349" s="609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E348:F348"/>
    <mergeCell ref="A318:C318"/>
    <mergeCell ref="A319:C319"/>
    <mergeCell ref="A320:B320"/>
    <mergeCell ref="E338:F338"/>
    <mergeCell ref="E339:F339"/>
    <mergeCell ref="E347:F347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21" sqref="B21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491" t="s">
        <v>0</v>
      </c>
      <c r="B1" s="492"/>
      <c r="C1" s="742" t="s">
        <v>1</v>
      </c>
      <c r="D1" s="743"/>
      <c r="E1" s="744"/>
      <c r="F1" s="493"/>
    </row>
    <row r="2" spans="1:7" ht="12.75" x14ac:dyDescent="0.2">
      <c r="A2" s="491" t="str">
        <f>CONCATENATE("COMUNA: ",[11]NOMBRE!B2," - ","( ",[11]NOMBRE!C2,[11]NOMBRE!D2,[11]NOMBRE!E2,[11]NOMBRE!F2,[11]NOMBRE!G2," )")</f>
        <v>COMUNA: Linares - ( 07401 )</v>
      </c>
      <c r="B2" s="492"/>
      <c r="C2" s="739"/>
      <c r="D2" s="740"/>
      <c r="E2" s="741"/>
      <c r="F2" s="494"/>
      <c r="G2" s="495"/>
    </row>
    <row r="3" spans="1:7" ht="12.75" x14ac:dyDescent="0.2">
      <c r="A3" s="491" t="str">
        <f>CONCATENATE("ESTABLECIMIENTO/ESTRATEGIA: ",[11]NOMBRE!B3," - ","( ",[11]NOMBRE!C3,[11]NOMBRE!D3,[11]NOMBRE!E3,[11]NOMBRE!F3,[11]NOMBRE!G3,[11]NOMBRE!H3," )")</f>
        <v>ESTABLECIMIENTO/ESTRATEGIA: Hospital Presidente Carlos Ibáñez del Campo - ( 116108 )</v>
      </c>
      <c r="B3" s="492"/>
      <c r="C3" s="742" t="s">
        <v>2</v>
      </c>
      <c r="D3" s="743"/>
      <c r="E3" s="744"/>
      <c r="F3" s="494"/>
      <c r="G3" s="496"/>
    </row>
    <row r="4" spans="1:7" ht="12.75" x14ac:dyDescent="0.2">
      <c r="A4" s="491" t="str">
        <f>CONCATENATE("MES: ",[11]NOMBRE!B6," - ","( ",[11]NOMBRE!C6,[11]NOMBRE!D6," )")</f>
        <v>MES: DICIEMBRE - ( 12 )</v>
      </c>
      <c r="B4" s="492"/>
      <c r="C4" s="739" t="str">
        <f>CONCATENATE([11]NOMBRE!B6," ","( ",[11]NOMBRE!C6,[11]NOMBRE!D6," )")</f>
        <v>DICIEMBRE ( 12 )</v>
      </c>
      <c r="D4" s="740"/>
      <c r="E4" s="741"/>
      <c r="F4" s="494"/>
      <c r="G4" s="496"/>
    </row>
    <row r="5" spans="1:7" ht="12.75" x14ac:dyDescent="0.2">
      <c r="A5" s="491" t="str">
        <f>CONCATENATE("AÑO: ",[11]NOMBRE!B7)</f>
        <v>AÑO: 2015</v>
      </c>
      <c r="B5" s="492"/>
      <c r="C5" s="742" t="s">
        <v>3</v>
      </c>
      <c r="D5" s="743"/>
      <c r="E5" s="744"/>
      <c r="F5" s="494"/>
      <c r="G5" s="496"/>
    </row>
    <row r="6" spans="1:7" ht="12.75" x14ac:dyDescent="0.2">
      <c r="A6" s="497"/>
      <c r="B6" s="497"/>
      <c r="C6" s="739">
        <f>[11]NOMBRE!B7</f>
        <v>2015</v>
      </c>
      <c r="D6" s="740"/>
      <c r="E6" s="741"/>
      <c r="F6" s="494"/>
      <c r="G6" s="496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494"/>
      <c r="G7" s="496"/>
    </row>
    <row r="8" spans="1:7" ht="15" x14ac:dyDescent="0.2">
      <c r="A8" s="497"/>
      <c r="B8" s="732" t="s">
        <v>6</v>
      </c>
      <c r="C8" s="739" t="str">
        <f>CONCATENATE([11]NOMBRE!B3," ","( ",[11]NOMBRE!C3,[11]NOMBRE!D3,[11]NOMBRE!E3,[11]NOMBRE!F3,[11]NOMBRE!G3," )")</f>
        <v>Hospital Presidente Carlos Ibáñez del Campo ( 11610 )</v>
      </c>
      <c r="D8" s="740"/>
      <c r="E8" s="741"/>
      <c r="F8" s="494"/>
      <c r="G8" s="496"/>
    </row>
    <row r="9" spans="1:7" ht="12.75" x14ac:dyDescent="0.2">
      <c r="A9" s="497"/>
      <c r="B9" s="497"/>
      <c r="C9" s="497"/>
      <c r="D9" s="497"/>
      <c r="E9" s="497"/>
      <c r="F9" s="494"/>
      <c r="G9" s="496"/>
    </row>
    <row r="10" spans="1:7" ht="12.75" x14ac:dyDescent="0.2">
      <c r="A10" s="497"/>
      <c r="B10" s="497"/>
      <c r="C10" s="497"/>
      <c r="D10" s="497"/>
      <c r="E10" s="497"/>
      <c r="F10" s="494"/>
      <c r="G10" s="498"/>
    </row>
    <row r="11" spans="1:7" ht="12.75" x14ac:dyDescent="0.2">
      <c r="A11" s="753" t="s">
        <v>7</v>
      </c>
      <c r="B11" s="754"/>
      <c r="C11" s="754"/>
      <c r="D11" s="754"/>
      <c r="E11" s="755"/>
      <c r="F11" s="494"/>
    </row>
    <row r="12" spans="1:7" ht="43.5" customHeight="1" x14ac:dyDescent="0.2">
      <c r="A12" s="499" t="s">
        <v>8</v>
      </c>
      <c r="B12" s="499" t="s">
        <v>9</v>
      </c>
      <c r="C12" s="733" t="s">
        <v>10</v>
      </c>
      <c r="D12" s="545" t="s">
        <v>11</v>
      </c>
      <c r="E12" s="735" t="s">
        <v>12</v>
      </c>
      <c r="F12" s="497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497"/>
    </row>
    <row r="14" spans="1:7" ht="15" customHeight="1" x14ac:dyDescent="0.2">
      <c r="A14" s="668" t="s">
        <v>14</v>
      </c>
      <c r="B14" s="677" t="s">
        <v>15</v>
      </c>
      <c r="C14" s="614">
        <f>[11]BS17A!$D13</f>
        <v>0</v>
      </c>
      <c r="D14" s="502">
        <f>[11]BS17A!$U13</f>
        <v>4300</v>
      </c>
      <c r="E14" s="503">
        <f>[11]BS17A!$V13</f>
        <v>0</v>
      </c>
      <c r="F14" s="497"/>
    </row>
    <row r="15" spans="1:7" ht="15" customHeight="1" x14ac:dyDescent="0.2">
      <c r="A15" s="669" t="s">
        <v>16</v>
      </c>
      <c r="B15" s="665" t="s">
        <v>17</v>
      </c>
      <c r="C15" s="614">
        <f>[11]BS17A!$D14</f>
        <v>0</v>
      </c>
      <c r="D15" s="505">
        <f>[11]BS17A!$U14</f>
        <v>5400</v>
      </c>
      <c r="E15" s="506">
        <f>[11]BS17A!$V14</f>
        <v>0</v>
      </c>
      <c r="F15" s="497"/>
    </row>
    <row r="16" spans="1:7" ht="15" customHeight="1" x14ac:dyDescent="0.2">
      <c r="A16" s="669" t="s">
        <v>18</v>
      </c>
      <c r="B16" s="665" t="s">
        <v>19</v>
      </c>
      <c r="C16" s="614">
        <f>[11]BS17A!$D15</f>
        <v>5719</v>
      </c>
      <c r="D16" s="505">
        <f>[11]BS17A!$U15</f>
        <v>11590</v>
      </c>
      <c r="E16" s="506">
        <f>[11]BS17A!$V15</f>
        <v>66283210</v>
      </c>
      <c r="F16" s="497"/>
    </row>
    <row r="17" spans="1:6" ht="15" customHeight="1" x14ac:dyDescent="0.2">
      <c r="A17" s="669" t="s">
        <v>20</v>
      </c>
      <c r="B17" s="665" t="s">
        <v>21</v>
      </c>
      <c r="C17" s="614">
        <f>[11]BS17A!$D16</f>
        <v>0</v>
      </c>
      <c r="D17" s="505">
        <f>[11]BS17A!$U16</f>
        <v>6920</v>
      </c>
      <c r="E17" s="506">
        <f>[11]BS17A!$V16</f>
        <v>0</v>
      </c>
      <c r="F17" s="497"/>
    </row>
    <row r="18" spans="1:6" ht="15" customHeight="1" x14ac:dyDescent="0.2">
      <c r="A18" s="669" t="s">
        <v>22</v>
      </c>
      <c r="B18" s="665" t="s">
        <v>23</v>
      </c>
      <c r="C18" s="614">
        <f>[11]BS17A!$D17</f>
        <v>0</v>
      </c>
      <c r="D18" s="505">
        <f>[11]BS17A!$U17</f>
        <v>7590</v>
      </c>
      <c r="E18" s="506">
        <f>[11]BS17A!$V17</f>
        <v>0</v>
      </c>
      <c r="F18" s="497"/>
    </row>
    <row r="19" spans="1:6" ht="33" customHeight="1" x14ac:dyDescent="0.2">
      <c r="A19" s="669" t="s">
        <v>24</v>
      </c>
      <c r="B19" s="717" t="s">
        <v>25</v>
      </c>
      <c r="C19" s="614">
        <f>[11]BS17A!$D20</f>
        <v>0</v>
      </c>
      <c r="D19" s="505">
        <f>[11]BS17A!$U20</f>
        <v>5860</v>
      </c>
      <c r="E19" s="506">
        <f>[11]BS17A!$V20</f>
        <v>0</v>
      </c>
      <c r="F19" s="497"/>
    </row>
    <row r="20" spans="1:6" ht="42.75" customHeight="1" x14ac:dyDescent="0.2">
      <c r="A20" s="669" t="s">
        <v>26</v>
      </c>
      <c r="B20" s="717" t="s">
        <v>27</v>
      </c>
      <c r="C20" s="614">
        <f>[11]BS17A!$D21</f>
        <v>0</v>
      </c>
      <c r="D20" s="505">
        <f>[11]BS17A!$U21</f>
        <v>7020</v>
      </c>
      <c r="E20" s="506">
        <f>[11]BS17A!$V21</f>
        <v>0</v>
      </c>
      <c r="F20" s="497"/>
    </row>
    <row r="21" spans="1:6" ht="42.75" customHeight="1" x14ac:dyDescent="0.2">
      <c r="A21" s="669" t="s">
        <v>28</v>
      </c>
      <c r="B21" s="717" t="s">
        <v>29</v>
      </c>
      <c r="C21" s="614">
        <f>[11]BS17A!$D22</f>
        <v>0</v>
      </c>
      <c r="D21" s="505">
        <f>[11]BS17A!$U22</f>
        <v>8710</v>
      </c>
      <c r="E21" s="506">
        <f>[11]BS17A!$V22</f>
        <v>0</v>
      </c>
      <c r="F21" s="497"/>
    </row>
    <row r="22" spans="1:6" ht="32.25" customHeight="1" x14ac:dyDescent="0.2">
      <c r="A22" s="669" t="s">
        <v>30</v>
      </c>
      <c r="B22" s="717" t="s">
        <v>31</v>
      </c>
      <c r="C22" s="614">
        <f>[11]BS17A!$D23</f>
        <v>2058</v>
      </c>
      <c r="D22" s="505">
        <f>[11]BS17A!$U23</f>
        <v>5860</v>
      </c>
      <c r="E22" s="506">
        <f>[11]BS17A!$V23</f>
        <v>12059880</v>
      </c>
      <c r="F22" s="497"/>
    </row>
    <row r="23" spans="1:6" ht="40.5" customHeight="1" x14ac:dyDescent="0.2">
      <c r="A23" s="669" t="s">
        <v>32</v>
      </c>
      <c r="B23" s="717" t="s">
        <v>33</v>
      </c>
      <c r="C23" s="614">
        <f>[11]BS17A!$D24</f>
        <v>1358</v>
      </c>
      <c r="D23" s="505">
        <f>[11]BS17A!$U24</f>
        <v>7020</v>
      </c>
      <c r="E23" s="506">
        <f>[11]BS17A!$V24</f>
        <v>9533160</v>
      </c>
      <c r="F23" s="497"/>
    </row>
    <row r="24" spans="1:6" ht="27" customHeight="1" x14ac:dyDescent="0.2">
      <c r="A24" s="669" t="s">
        <v>34</v>
      </c>
      <c r="B24" s="717" t="s">
        <v>35</v>
      </c>
      <c r="C24" s="614">
        <f>[11]BS17A!$D25</f>
        <v>1995</v>
      </c>
      <c r="D24" s="505">
        <f>[11]BS17A!$U25</f>
        <v>8710</v>
      </c>
      <c r="E24" s="506">
        <f>[11]BS17A!$V25</f>
        <v>17376450</v>
      </c>
      <c r="F24" s="497"/>
    </row>
    <row r="25" spans="1:6" ht="15" customHeight="1" x14ac:dyDescent="0.2">
      <c r="A25" s="669" t="s">
        <v>36</v>
      </c>
      <c r="B25" s="664" t="s">
        <v>37</v>
      </c>
      <c r="C25" s="614">
        <f>+[11]BS17A!$D795</f>
        <v>258</v>
      </c>
      <c r="D25" s="505">
        <f>+[11]BS17A!$U795</f>
        <v>7110</v>
      </c>
      <c r="E25" s="506">
        <f>+[11]BS17A!$V795</f>
        <v>1834380</v>
      </c>
      <c r="F25" s="497"/>
    </row>
    <row r="26" spans="1:6" ht="15" customHeight="1" x14ac:dyDescent="0.2">
      <c r="A26" s="670" t="s">
        <v>38</v>
      </c>
      <c r="B26" s="684" t="s">
        <v>39</v>
      </c>
      <c r="C26" s="629">
        <f>+[11]BS17A!$D800</f>
        <v>0</v>
      </c>
      <c r="D26" s="507">
        <f>+[11]BS17A!$U800</f>
        <v>29440</v>
      </c>
      <c r="E26" s="508">
        <f>+[11]BS17A!$V800</f>
        <v>0</v>
      </c>
      <c r="F26" s="497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497"/>
    </row>
    <row r="28" spans="1:6" ht="15" customHeight="1" x14ac:dyDescent="0.2">
      <c r="A28" s="668" t="s">
        <v>41</v>
      </c>
      <c r="B28" s="677" t="s">
        <v>42</v>
      </c>
      <c r="C28" s="617">
        <f>[11]BS17A!$D27</f>
        <v>1671</v>
      </c>
      <c r="D28" s="502">
        <f>[11]BS17A!$U27</f>
        <v>1140</v>
      </c>
      <c r="E28" s="503">
        <f>[11]BS17A!$V27</f>
        <v>1904940</v>
      </c>
      <c r="F28" s="497"/>
    </row>
    <row r="29" spans="1:6" ht="15" customHeight="1" x14ac:dyDescent="0.2">
      <c r="A29" s="669" t="s">
        <v>43</v>
      </c>
      <c r="B29" s="683" t="s">
        <v>44</v>
      </c>
      <c r="C29" s="614">
        <f>[11]BS17A!$D28</f>
        <v>0</v>
      </c>
      <c r="D29" s="505">
        <f>[11]BS17A!$U28</f>
        <v>1960</v>
      </c>
      <c r="E29" s="506">
        <f>[11]BS17A!$V28</f>
        <v>0</v>
      </c>
      <c r="F29" s="497"/>
    </row>
    <row r="30" spans="1:6" ht="15" customHeight="1" x14ac:dyDescent="0.2">
      <c r="A30" s="669" t="s">
        <v>45</v>
      </c>
      <c r="B30" s="665" t="s">
        <v>46</v>
      </c>
      <c r="C30" s="614">
        <f>[11]BS17A!$D29</f>
        <v>0</v>
      </c>
      <c r="D30" s="505">
        <f>[11]BS17A!$U29</f>
        <v>630</v>
      </c>
      <c r="E30" s="506">
        <f>[11]BS17A!$V29</f>
        <v>0</v>
      </c>
      <c r="F30" s="497"/>
    </row>
    <row r="31" spans="1:6" ht="15" customHeight="1" x14ac:dyDescent="0.2">
      <c r="A31" s="669" t="s">
        <v>47</v>
      </c>
      <c r="B31" s="665" t="s">
        <v>48</v>
      </c>
      <c r="C31" s="614">
        <f>[11]BS17A!$D30</f>
        <v>85</v>
      </c>
      <c r="D31" s="505">
        <f>[11]BS17A!$U30</f>
        <v>1550</v>
      </c>
      <c r="E31" s="506">
        <f>[11]BS17A!$V30</f>
        <v>131750</v>
      </c>
      <c r="F31" s="497"/>
    </row>
    <row r="32" spans="1:6" ht="15" customHeight="1" x14ac:dyDescent="0.2">
      <c r="A32" s="669" t="s">
        <v>49</v>
      </c>
      <c r="B32" s="665" t="s">
        <v>50</v>
      </c>
      <c r="C32" s="614">
        <f>[11]BS17A!$D31</f>
        <v>1060</v>
      </c>
      <c r="D32" s="505">
        <f>[11]BS17A!$U31</f>
        <v>1250</v>
      </c>
      <c r="E32" s="506">
        <f>[11]BS17A!$V31</f>
        <v>1325000</v>
      </c>
      <c r="F32" s="497"/>
    </row>
    <row r="33" spans="1:6" ht="15" customHeight="1" x14ac:dyDescent="0.2">
      <c r="A33" s="669" t="s">
        <v>51</v>
      </c>
      <c r="B33" s="683" t="s">
        <v>52</v>
      </c>
      <c r="C33" s="614">
        <f>[11]BS17A!$D32</f>
        <v>0</v>
      </c>
      <c r="D33" s="505">
        <f>[11]BS17A!$U32</f>
        <v>1140</v>
      </c>
      <c r="E33" s="506">
        <f>[11]BS17A!$V32</f>
        <v>0</v>
      </c>
      <c r="F33" s="497"/>
    </row>
    <row r="34" spans="1:6" ht="15" customHeight="1" x14ac:dyDescent="0.2">
      <c r="A34" s="669" t="s">
        <v>53</v>
      </c>
      <c r="B34" s="665" t="s">
        <v>54</v>
      </c>
      <c r="C34" s="614">
        <f>+[11]BS17A!$D796</f>
        <v>203</v>
      </c>
      <c r="D34" s="505">
        <f>+[11]BS17A!$U796</f>
        <v>2780</v>
      </c>
      <c r="E34" s="506">
        <f>+[11]BS17A!$V796</f>
        <v>564340</v>
      </c>
      <c r="F34" s="497"/>
    </row>
    <row r="35" spans="1:6" ht="15" customHeight="1" x14ac:dyDescent="0.2">
      <c r="A35" s="669" t="s">
        <v>55</v>
      </c>
      <c r="B35" s="683" t="s">
        <v>56</v>
      </c>
      <c r="C35" s="614">
        <f>+[11]BS17A!$D797</f>
        <v>591</v>
      </c>
      <c r="D35" s="505">
        <f>+[11]BS17A!$U797</f>
        <v>2780</v>
      </c>
      <c r="E35" s="506">
        <f>+[11]BS17A!$V797</f>
        <v>1642980</v>
      </c>
      <c r="F35" s="497"/>
    </row>
    <row r="36" spans="1:6" ht="15" customHeight="1" x14ac:dyDescent="0.2">
      <c r="A36" s="669" t="s">
        <v>57</v>
      </c>
      <c r="B36" s="683" t="s">
        <v>58</v>
      </c>
      <c r="C36" s="614">
        <f>+[11]BS17A!$D798</f>
        <v>5</v>
      </c>
      <c r="D36" s="505">
        <f>+[11]BS17A!$U798</f>
        <v>11080</v>
      </c>
      <c r="E36" s="506">
        <f>+[11]BS17A!$V798</f>
        <v>55400</v>
      </c>
      <c r="F36" s="497"/>
    </row>
    <row r="37" spans="1:6" ht="15" customHeight="1" x14ac:dyDescent="0.2">
      <c r="A37" s="670" t="s">
        <v>59</v>
      </c>
      <c r="B37" s="716" t="s">
        <v>60</v>
      </c>
      <c r="C37" s="629">
        <f>+[11]BS17A!$D799</f>
        <v>48</v>
      </c>
      <c r="D37" s="507">
        <f>+[11]BS17A!$U799</f>
        <v>12980</v>
      </c>
      <c r="E37" s="508">
        <f>+[11]BS17A!$V799</f>
        <v>623040</v>
      </c>
      <c r="F37" s="497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497"/>
    </row>
    <row r="39" spans="1:6" ht="15" customHeight="1" x14ac:dyDescent="0.2">
      <c r="A39" s="668" t="s">
        <v>62</v>
      </c>
      <c r="B39" s="663" t="s">
        <v>63</v>
      </c>
      <c r="C39" s="617">
        <f>+[11]BS17A!$D801</f>
        <v>0</v>
      </c>
      <c r="D39" s="510">
        <f>+[11]BS17A!$U801</f>
        <v>3657</v>
      </c>
      <c r="E39" s="511">
        <f>+[11]BS17A!$V801</f>
        <v>0</v>
      </c>
      <c r="F39" s="497"/>
    </row>
    <row r="40" spans="1:6" ht="15" customHeight="1" x14ac:dyDescent="0.2">
      <c r="A40" s="670" t="s">
        <v>64</v>
      </c>
      <c r="B40" s="678" t="s">
        <v>65</v>
      </c>
      <c r="C40" s="629">
        <f>+[11]BS17A!$D802</f>
        <v>0</v>
      </c>
      <c r="D40" s="512">
        <f>+[11]BS17A!$U802</f>
        <v>9455</v>
      </c>
      <c r="E40" s="513">
        <f>+[11]BS17A!$V802</f>
        <v>0</v>
      </c>
      <c r="F40" s="497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497"/>
    </row>
    <row r="42" spans="1:6" ht="15" customHeight="1" x14ac:dyDescent="0.2">
      <c r="A42" s="668" t="s">
        <v>67</v>
      </c>
      <c r="B42" s="685" t="s">
        <v>68</v>
      </c>
      <c r="C42" s="617">
        <f>+[11]BS17A!$D34</f>
        <v>20</v>
      </c>
      <c r="D42" s="510">
        <f>+[11]BS17A!$U34</f>
        <v>3750</v>
      </c>
      <c r="E42" s="511">
        <f>+[11]BS17A!$V34</f>
        <v>75000</v>
      </c>
      <c r="F42" s="497"/>
    </row>
    <row r="43" spans="1:6" ht="15" customHeight="1" x14ac:dyDescent="0.2">
      <c r="A43" s="669" t="s">
        <v>69</v>
      </c>
      <c r="B43" s="665" t="s">
        <v>70</v>
      </c>
      <c r="C43" s="614">
        <f>+[11]BS17A!$D35</f>
        <v>296</v>
      </c>
      <c r="D43" s="505">
        <f>+[11]BS17A!$U35</f>
        <v>2060</v>
      </c>
      <c r="E43" s="506">
        <f>+[11]BS17A!$V35</f>
        <v>609760</v>
      </c>
      <c r="F43" s="497"/>
    </row>
    <row r="44" spans="1:6" ht="15" customHeight="1" x14ac:dyDescent="0.2">
      <c r="A44" s="669" t="s">
        <v>71</v>
      </c>
      <c r="B44" s="665" t="s">
        <v>72</v>
      </c>
      <c r="C44" s="614">
        <f>+[11]BS17A!$D36</f>
        <v>40</v>
      </c>
      <c r="D44" s="505">
        <f>+[11]BS17A!$U36</f>
        <v>2060</v>
      </c>
      <c r="E44" s="506">
        <f>+[11]BS17A!$V36</f>
        <v>82400</v>
      </c>
      <c r="F44" s="497"/>
    </row>
    <row r="45" spans="1:6" ht="15" customHeight="1" x14ac:dyDescent="0.2">
      <c r="A45" s="670" t="s">
        <v>73</v>
      </c>
      <c r="B45" s="666" t="s">
        <v>74</v>
      </c>
      <c r="C45" s="629">
        <f>+[11]BS17A!$D37</f>
        <v>360</v>
      </c>
      <c r="D45" s="512">
        <f>+[11]BS17A!$U37</f>
        <v>630</v>
      </c>
      <c r="E45" s="513">
        <f>+[11]BS17A!$V37</f>
        <v>226800</v>
      </c>
      <c r="F45" s="497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497"/>
    </row>
    <row r="47" spans="1:6" ht="15" customHeight="1" x14ac:dyDescent="0.2">
      <c r="A47" s="668" t="s">
        <v>76</v>
      </c>
      <c r="B47" s="685" t="s">
        <v>77</v>
      </c>
      <c r="C47" s="617">
        <f>+[11]BS17A!$D39</f>
        <v>220</v>
      </c>
      <c r="D47" s="510">
        <f>+[11]BS17A!$U39</f>
        <v>1780</v>
      </c>
      <c r="E47" s="511">
        <f>+[11]BS17A!$V39</f>
        <v>391600</v>
      </c>
      <c r="F47" s="497"/>
    </row>
    <row r="48" spans="1:6" ht="15" customHeight="1" x14ac:dyDescent="0.2">
      <c r="A48" s="669" t="s">
        <v>78</v>
      </c>
      <c r="B48" s="665" t="s">
        <v>79</v>
      </c>
      <c r="C48" s="614">
        <f>+[11]BS17A!$D40</f>
        <v>26</v>
      </c>
      <c r="D48" s="505">
        <f>+[11]BS17A!$U40</f>
        <v>1780</v>
      </c>
      <c r="E48" s="506">
        <f>+[11]BS17A!$V40</f>
        <v>46280</v>
      </c>
      <c r="F48" s="497"/>
    </row>
    <row r="49" spans="1:7" ht="15" customHeight="1" x14ac:dyDescent="0.2">
      <c r="A49" s="670" t="s">
        <v>80</v>
      </c>
      <c r="B49" s="666" t="s">
        <v>81</v>
      </c>
      <c r="C49" s="629">
        <f>+[11]BS17A!$D41</f>
        <v>294</v>
      </c>
      <c r="D49" s="512">
        <f>+[11]BS17A!$U41</f>
        <v>1030</v>
      </c>
      <c r="E49" s="513">
        <f>+[11]BS17A!$V41</f>
        <v>302820</v>
      </c>
      <c r="F49" s="497"/>
    </row>
    <row r="50" spans="1:7" ht="18" customHeight="1" x14ac:dyDescent="0.2">
      <c r="A50" s="514"/>
      <c r="B50" s="645" t="s">
        <v>82</v>
      </c>
      <c r="C50" s="514">
        <f>SUM(C14:C49)</f>
        <v>16307</v>
      </c>
      <c r="D50" s="515"/>
      <c r="E50" s="516">
        <f>SUM(E14:E49)</f>
        <v>115069190</v>
      </c>
      <c r="F50" s="497"/>
    </row>
    <row r="51" spans="1:7" ht="18" customHeight="1" x14ac:dyDescent="0.2">
      <c r="A51" s="517"/>
      <c r="B51" s="517"/>
      <c r="C51" s="517"/>
      <c r="D51" s="518"/>
      <c r="E51" s="519"/>
      <c r="F51" s="497"/>
    </row>
    <row r="52" spans="1:7" ht="12.75" x14ac:dyDescent="0.2">
      <c r="A52" s="497"/>
      <c r="B52" s="497"/>
      <c r="C52" s="497"/>
      <c r="D52" s="497"/>
      <c r="E52" s="497"/>
      <c r="F52" s="520"/>
      <c r="G52" s="521"/>
    </row>
    <row r="53" spans="1:7" ht="12.75" x14ac:dyDescent="0.2">
      <c r="A53" s="759" t="s">
        <v>83</v>
      </c>
      <c r="B53" s="760"/>
      <c r="C53" s="760"/>
      <c r="D53" s="760"/>
      <c r="E53" s="761"/>
      <c r="F53" s="520"/>
      <c r="G53" s="521"/>
    </row>
    <row r="54" spans="1:7" ht="42.75" customHeight="1" x14ac:dyDescent="0.2">
      <c r="A54" s="499" t="s">
        <v>8</v>
      </c>
      <c r="B54" s="499" t="s">
        <v>84</v>
      </c>
      <c r="C54" s="733" t="s">
        <v>10</v>
      </c>
      <c r="D54" s="546"/>
      <c r="E54" s="735" t="s">
        <v>12</v>
      </c>
      <c r="F54" s="497"/>
    </row>
    <row r="55" spans="1:7" ht="18" customHeight="1" x14ac:dyDescent="0.2">
      <c r="A55" s="736" t="s">
        <v>85</v>
      </c>
      <c r="B55" s="706" t="s">
        <v>86</v>
      </c>
      <c r="C55" s="551">
        <f>+[11]BS17!$D12</f>
        <v>59761</v>
      </c>
      <c r="D55" s="523"/>
      <c r="E55" s="524">
        <f>+E56+E57+E58+E59+E60+E61+E65+E66+E67</f>
        <v>83199720</v>
      </c>
      <c r="F55" s="497"/>
    </row>
    <row r="56" spans="1:7" ht="15" customHeight="1" x14ac:dyDescent="0.2">
      <c r="A56" s="704" t="s">
        <v>87</v>
      </c>
      <c r="B56" s="677" t="s">
        <v>88</v>
      </c>
      <c r="C56" s="660">
        <f>+[11]BS17!$D13</f>
        <v>24247</v>
      </c>
      <c r="D56" s="525"/>
      <c r="E56" s="526">
        <f>+[11]BS17A!V83</f>
        <v>25129990</v>
      </c>
      <c r="F56" s="497"/>
    </row>
    <row r="57" spans="1:7" ht="15" customHeight="1" x14ac:dyDescent="0.2">
      <c r="A57" s="669" t="s">
        <v>89</v>
      </c>
      <c r="B57" s="664" t="s">
        <v>90</v>
      </c>
      <c r="C57" s="614">
        <f>+[11]BS17!$D14</f>
        <v>25746</v>
      </c>
      <c r="D57" s="528"/>
      <c r="E57" s="529">
        <f>+[11]BS17A!V174</f>
        <v>31746080</v>
      </c>
      <c r="F57" s="497"/>
    </row>
    <row r="58" spans="1:7" ht="15" customHeight="1" x14ac:dyDescent="0.2">
      <c r="A58" s="669" t="s">
        <v>91</v>
      </c>
      <c r="B58" s="664" t="s">
        <v>92</v>
      </c>
      <c r="C58" s="614">
        <f>+[11]BS17!$D15</f>
        <v>1067</v>
      </c>
      <c r="D58" s="528"/>
      <c r="E58" s="529">
        <f>+[11]BS17A!V243</f>
        <v>3804330</v>
      </c>
      <c r="F58" s="497"/>
    </row>
    <row r="59" spans="1:7" ht="15" customHeight="1" x14ac:dyDescent="0.2">
      <c r="A59" s="669" t="s">
        <v>93</v>
      </c>
      <c r="B59" s="664" t="s">
        <v>94</v>
      </c>
      <c r="C59" s="614">
        <f>+[11]BS17!$D16</f>
        <v>0</v>
      </c>
      <c r="D59" s="528"/>
      <c r="E59" s="529">
        <f>+[11]BS17A!V289</f>
        <v>0</v>
      </c>
      <c r="F59" s="497"/>
    </row>
    <row r="60" spans="1:7" ht="15" customHeight="1" x14ac:dyDescent="0.2">
      <c r="A60" s="699" t="s">
        <v>95</v>
      </c>
      <c r="B60" s="684" t="s">
        <v>96</v>
      </c>
      <c r="C60" s="644">
        <f>+[11]BS17!$D17</f>
        <v>1402</v>
      </c>
      <c r="D60" s="530"/>
      <c r="E60" s="531">
        <f>+[11]BS17A!V295</f>
        <v>6804210</v>
      </c>
      <c r="F60" s="497"/>
    </row>
    <row r="61" spans="1:7" ht="15" customHeight="1" x14ac:dyDescent="0.2">
      <c r="A61" s="668" t="s">
        <v>97</v>
      </c>
      <c r="B61" s="707" t="s">
        <v>98</v>
      </c>
      <c r="C61" s="646">
        <f>+[11]BS17!$D18</f>
        <v>4360</v>
      </c>
      <c r="D61" s="532"/>
      <c r="E61" s="533">
        <f>SUM(E62:E64)</f>
        <v>11795930</v>
      </c>
      <c r="F61" s="497"/>
    </row>
    <row r="62" spans="1:7" ht="15" customHeight="1" x14ac:dyDescent="0.2">
      <c r="A62" s="710"/>
      <c r="B62" s="685" t="s">
        <v>99</v>
      </c>
      <c r="C62" s="617">
        <f>+[11]BS17!$D19</f>
        <v>3423</v>
      </c>
      <c r="D62" s="534"/>
      <c r="E62" s="535">
        <f>+[11]BS17A!V362</f>
        <v>7968960</v>
      </c>
      <c r="F62" s="497"/>
    </row>
    <row r="63" spans="1:7" ht="15" customHeight="1" x14ac:dyDescent="0.2">
      <c r="A63" s="710"/>
      <c r="B63" s="664" t="s">
        <v>100</v>
      </c>
      <c r="C63" s="614">
        <f>+[11]BS17!$D20</f>
        <v>41</v>
      </c>
      <c r="D63" s="528"/>
      <c r="E63" s="529">
        <f>+[11]BS17A!V405</f>
        <v>110960</v>
      </c>
      <c r="F63" s="497"/>
    </row>
    <row r="64" spans="1:7" ht="15" customHeight="1" x14ac:dyDescent="0.2">
      <c r="A64" s="711"/>
      <c r="B64" s="666" t="s">
        <v>101</v>
      </c>
      <c r="C64" s="629">
        <f>+[11]BS17!$D21</f>
        <v>896</v>
      </c>
      <c r="D64" s="536"/>
      <c r="E64" s="537">
        <f>+[11]BS17A!V428</f>
        <v>3716010</v>
      </c>
      <c r="F64" s="497"/>
    </row>
    <row r="65" spans="1:7" ht="15" customHeight="1" x14ac:dyDescent="0.2">
      <c r="A65" s="704" t="s">
        <v>102</v>
      </c>
      <c r="B65" s="703" t="s">
        <v>103</v>
      </c>
      <c r="C65" s="660">
        <f>+[11]BS17!$D22</f>
        <v>0</v>
      </c>
      <c r="D65" s="525"/>
      <c r="E65" s="526">
        <f>+[11]BS17A!V446</f>
        <v>0</v>
      </c>
      <c r="F65" s="497"/>
    </row>
    <row r="66" spans="1:7" ht="15" customHeight="1" x14ac:dyDescent="0.2">
      <c r="A66" s="669" t="s">
        <v>104</v>
      </c>
      <c r="B66" s="664" t="s">
        <v>105</v>
      </c>
      <c r="C66" s="614">
        <f>+[11]BS17!$D23</f>
        <v>43</v>
      </c>
      <c r="D66" s="528"/>
      <c r="E66" s="529">
        <f>+[11]BS17A!V456</f>
        <v>78940</v>
      </c>
      <c r="F66" s="497"/>
    </row>
    <row r="67" spans="1:7" ht="15" customHeight="1" x14ac:dyDescent="0.2">
      <c r="A67" s="699" t="s">
        <v>106</v>
      </c>
      <c r="B67" s="684" t="s">
        <v>107</v>
      </c>
      <c r="C67" s="644">
        <f>+[11]BS17!$D24</f>
        <v>2896</v>
      </c>
      <c r="D67" s="530"/>
      <c r="E67" s="531">
        <f>+[11]BS17A!V500</f>
        <v>3840240</v>
      </c>
      <c r="F67" s="497"/>
    </row>
    <row r="68" spans="1:7" ht="15" customHeight="1" x14ac:dyDescent="0.2">
      <c r="A68" s="712" t="s">
        <v>108</v>
      </c>
      <c r="B68" s="702" t="s">
        <v>109</v>
      </c>
      <c r="C68" s="661">
        <f>+[11]BS17!$D25</f>
        <v>3761</v>
      </c>
      <c r="D68" s="538"/>
      <c r="E68" s="539">
        <f>SUM(E69:E74)</f>
        <v>67557210</v>
      </c>
      <c r="F68" s="497"/>
    </row>
    <row r="69" spans="1:7" ht="15" customHeight="1" x14ac:dyDescent="0.2">
      <c r="A69" s="669" t="s">
        <v>110</v>
      </c>
      <c r="B69" s="664" t="s">
        <v>111</v>
      </c>
      <c r="C69" s="614">
        <f>+[11]BS17!$D26</f>
        <v>2290</v>
      </c>
      <c r="D69" s="528"/>
      <c r="E69" s="529">
        <f>+[11]BS17A!V535</f>
        <v>18458870</v>
      </c>
      <c r="F69" s="497"/>
    </row>
    <row r="70" spans="1:7" ht="15" customHeight="1" x14ac:dyDescent="0.2">
      <c r="A70" s="669" t="s">
        <v>112</v>
      </c>
      <c r="B70" s="664" t="s">
        <v>113</v>
      </c>
      <c r="C70" s="614">
        <f>+[11]BS17!$D27</f>
        <v>2</v>
      </c>
      <c r="D70" s="528"/>
      <c r="E70" s="529">
        <f>+[11]BS17A!V590</f>
        <v>47980</v>
      </c>
      <c r="F70" s="497"/>
    </row>
    <row r="71" spans="1:7" ht="15" customHeight="1" x14ac:dyDescent="0.2">
      <c r="A71" s="669" t="s">
        <v>114</v>
      </c>
      <c r="B71" s="664" t="s">
        <v>115</v>
      </c>
      <c r="C71" s="614">
        <f>+[11]BS17!$D28</f>
        <v>818</v>
      </c>
      <c r="D71" s="528"/>
      <c r="E71" s="529">
        <f>+[11]BS17A!V615</f>
        <v>38985610</v>
      </c>
      <c r="F71" s="497"/>
    </row>
    <row r="72" spans="1:7" ht="15" customHeight="1" x14ac:dyDescent="0.2">
      <c r="A72" s="669" t="s">
        <v>116</v>
      </c>
      <c r="B72" s="664" t="s">
        <v>117</v>
      </c>
      <c r="C72" s="614">
        <f>+[11]BS17!$D30+[11]BS17!$D32</f>
        <v>551</v>
      </c>
      <c r="D72" s="528"/>
      <c r="E72" s="529">
        <f>+[11]BS17A!V633-[11]BS17A!V634</f>
        <v>9540750</v>
      </c>
      <c r="F72" s="497"/>
    </row>
    <row r="73" spans="1:7" ht="15" customHeight="1" x14ac:dyDescent="0.2">
      <c r="A73" s="713"/>
      <c r="B73" s="664" t="s">
        <v>118</v>
      </c>
      <c r="C73" s="614">
        <f>+[11]BS17!$D31</f>
        <v>100</v>
      </c>
      <c r="D73" s="528"/>
      <c r="E73" s="529">
        <f>+[11]BS17A!V634</f>
        <v>524000</v>
      </c>
      <c r="F73" s="497"/>
    </row>
    <row r="74" spans="1:7" ht="15" customHeight="1" x14ac:dyDescent="0.2">
      <c r="A74" s="714" t="s">
        <v>119</v>
      </c>
      <c r="B74" s="708" t="s">
        <v>120</v>
      </c>
      <c r="C74" s="651">
        <f>+[11]BS17!$D33</f>
        <v>0</v>
      </c>
      <c r="D74" s="623"/>
      <c r="E74" s="624">
        <f>+[11]BS17A!V654</f>
        <v>0</v>
      </c>
      <c r="F74" s="497"/>
    </row>
    <row r="75" spans="1:7" ht="15" customHeight="1" x14ac:dyDescent="0.2">
      <c r="A75" s="715" t="s">
        <v>121</v>
      </c>
      <c r="B75" s="709" t="s">
        <v>122</v>
      </c>
      <c r="C75" s="662">
        <f>+[11]BS17!$D34</f>
        <v>0</v>
      </c>
      <c r="D75" s="540"/>
      <c r="E75" s="541">
        <f>+[11]BS17A!V783</f>
        <v>0</v>
      </c>
      <c r="F75" s="497"/>
    </row>
    <row r="76" spans="1:7" ht="15" customHeight="1" x14ac:dyDescent="0.2">
      <c r="A76" s="671"/>
      <c r="B76" s="737" t="s">
        <v>123</v>
      </c>
      <c r="C76" s="551">
        <f>+C55+C68+C75</f>
        <v>63522</v>
      </c>
      <c r="D76" s="523"/>
      <c r="E76" s="543">
        <f>+E55+E68+E75</f>
        <v>150756930</v>
      </c>
      <c r="F76" s="497"/>
    </row>
    <row r="77" spans="1:7" ht="12.75" x14ac:dyDescent="0.2">
      <c r="A77" s="497"/>
      <c r="B77" s="497"/>
      <c r="C77" s="497"/>
      <c r="D77" s="497"/>
      <c r="E77" s="497"/>
      <c r="F77" s="520"/>
      <c r="G77" s="521"/>
    </row>
    <row r="78" spans="1:7" ht="12.75" x14ac:dyDescent="0.2">
      <c r="A78" s="497"/>
      <c r="B78" s="497"/>
      <c r="C78" s="497"/>
      <c r="D78" s="497"/>
      <c r="E78" s="497"/>
      <c r="F78" s="520"/>
      <c r="G78" s="521"/>
    </row>
    <row r="79" spans="1:7" ht="12.75" x14ac:dyDescent="0.2">
      <c r="A79" s="753" t="s">
        <v>124</v>
      </c>
      <c r="B79" s="754"/>
      <c r="C79" s="754"/>
      <c r="D79" s="754"/>
      <c r="E79" s="755"/>
      <c r="F79" s="520"/>
      <c r="G79" s="521"/>
    </row>
    <row r="80" spans="1:7" ht="45" customHeight="1" x14ac:dyDescent="0.2">
      <c r="A80" s="499" t="s">
        <v>8</v>
      </c>
      <c r="B80" s="734" t="s">
        <v>9</v>
      </c>
      <c r="C80" s="544" t="s">
        <v>10</v>
      </c>
      <c r="D80" s="546"/>
      <c r="E80" s="547" t="s">
        <v>12</v>
      </c>
      <c r="F80" s="520"/>
      <c r="G80" s="521"/>
    </row>
    <row r="81" spans="1:6" ht="15" customHeight="1" x14ac:dyDescent="0.2">
      <c r="A81" s="705" t="s">
        <v>125</v>
      </c>
      <c r="B81" s="677" t="s">
        <v>126</v>
      </c>
      <c r="C81" s="617">
        <f>+[11]BS17!D49</f>
        <v>0</v>
      </c>
      <c r="D81" s="525"/>
      <c r="E81" s="548">
        <f>+SUM([11]BS17A!V673+[11]BS17A!V719)</f>
        <v>0</v>
      </c>
      <c r="F81" s="497"/>
    </row>
    <row r="82" spans="1:6" ht="15" customHeight="1" x14ac:dyDescent="0.2">
      <c r="A82" s="691">
        <v>2001</v>
      </c>
      <c r="B82" s="664" t="s">
        <v>127</v>
      </c>
      <c r="C82" s="614">
        <f>+[11]BS17!E130</f>
        <v>1350</v>
      </c>
      <c r="D82" s="528"/>
      <c r="E82" s="549">
        <f>+[11]BS17A!V1574</f>
        <v>11195140</v>
      </c>
      <c r="F82" s="497"/>
    </row>
    <row r="83" spans="1:6" ht="15" customHeight="1" x14ac:dyDescent="0.2">
      <c r="A83" s="699" t="s">
        <v>128</v>
      </c>
      <c r="B83" s="684" t="s">
        <v>129</v>
      </c>
      <c r="C83" s="644">
        <f>+[11]BS17A!D1849</f>
        <v>31</v>
      </c>
      <c r="D83" s="530"/>
      <c r="E83" s="550">
        <f>+[11]BS17A!V1849</f>
        <v>2194280</v>
      </c>
      <c r="F83" s="497"/>
    </row>
    <row r="84" spans="1:6" ht="17.25" customHeight="1" x14ac:dyDescent="0.2">
      <c r="A84" s="671"/>
      <c r="B84" s="737" t="s">
        <v>130</v>
      </c>
      <c r="C84" s="551">
        <f>+SUM(C81:C83)</f>
        <v>1381</v>
      </c>
      <c r="D84" s="523"/>
      <c r="E84" s="552">
        <f>SUM(E81:E83)</f>
        <v>13389420</v>
      </c>
      <c r="F84" s="497"/>
    </row>
    <row r="85" spans="1:6" ht="12.75" x14ac:dyDescent="0.2">
      <c r="A85" s="497"/>
      <c r="B85" s="497"/>
      <c r="C85" s="497"/>
      <c r="D85" s="497"/>
      <c r="E85" s="497"/>
      <c r="F85" s="497"/>
    </row>
    <row r="86" spans="1:6" ht="12.75" x14ac:dyDescent="0.2">
      <c r="A86" s="497"/>
      <c r="B86" s="497"/>
      <c r="C86" s="497"/>
      <c r="D86" s="497"/>
      <c r="E86" s="497"/>
      <c r="F86" s="494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734" t="s">
        <v>132</v>
      </c>
      <c r="D89" s="628" t="s">
        <v>133</v>
      </c>
      <c r="E89" s="545" t="s">
        <v>134</v>
      </c>
      <c r="F89" s="735" t="s">
        <v>12</v>
      </c>
    </row>
    <row r="90" spans="1:6" ht="15" customHeight="1" x14ac:dyDescent="0.2">
      <c r="A90" s="668" t="s">
        <v>135</v>
      </c>
      <c r="B90" s="663" t="s">
        <v>136</v>
      </c>
      <c r="C90" s="654">
        <f>+[11]BS17!F68</f>
        <v>0</v>
      </c>
      <c r="D90" s="553">
        <f>+[11]BS17!G68</f>
        <v>0</v>
      </c>
      <c r="E90" s="554">
        <f>+[11]BS17!H68</f>
        <v>0</v>
      </c>
      <c r="F90" s="555">
        <f>[11]BS17A!V811</f>
        <v>0</v>
      </c>
    </row>
    <row r="91" spans="1:6" ht="15" customHeight="1" x14ac:dyDescent="0.2">
      <c r="A91" s="669" t="s">
        <v>137</v>
      </c>
      <c r="B91" s="664" t="s">
        <v>138</v>
      </c>
      <c r="C91" s="655">
        <f>+[11]BS17!F69</f>
        <v>87</v>
      </c>
      <c r="D91" s="556">
        <f>+[11]BS17!G69</f>
        <v>0</v>
      </c>
      <c r="E91" s="557">
        <f>+[11]BS17!H69</f>
        <v>0</v>
      </c>
      <c r="F91" s="558">
        <f>[11]BS17A!V882</f>
        <v>13634610</v>
      </c>
    </row>
    <row r="92" spans="1:6" ht="15" customHeight="1" x14ac:dyDescent="0.2">
      <c r="A92" s="669" t="s">
        <v>139</v>
      </c>
      <c r="B92" s="664" t="s">
        <v>140</v>
      </c>
      <c r="C92" s="655">
        <f>+[11]BS17!F70</f>
        <v>30</v>
      </c>
      <c r="D92" s="556">
        <f>+[11]BS17!G70</f>
        <v>0</v>
      </c>
      <c r="E92" s="557">
        <f>+[11]BS17!H70</f>
        <v>0</v>
      </c>
      <c r="F92" s="558">
        <f>[11]BS17A!V961</f>
        <v>3423180</v>
      </c>
    </row>
    <row r="93" spans="1:6" ht="15" customHeight="1" x14ac:dyDescent="0.2">
      <c r="A93" s="669" t="s">
        <v>141</v>
      </c>
      <c r="B93" s="664" t="s">
        <v>142</v>
      </c>
      <c r="C93" s="655">
        <f>+[11]BS17!F71</f>
        <v>1</v>
      </c>
      <c r="D93" s="556">
        <f>+[11]BS17!G71</f>
        <v>0</v>
      </c>
      <c r="E93" s="557">
        <f>+[11]BS17!H71</f>
        <v>0</v>
      </c>
      <c r="F93" s="558">
        <f>[11]BS17A!V1037</f>
        <v>151340</v>
      </c>
    </row>
    <row r="94" spans="1:6" ht="15" customHeight="1" x14ac:dyDescent="0.2">
      <c r="A94" s="669" t="s">
        <v>143</v>
      </c>
      <c r="B94" s="664" t="s">
        <v>144</v>
      </c>
      <c r="C94" s="655">
        <f>+[11]BS17!F72</f>
        <v>61</v>
      </c>
      <c r="D94" s="556">
        <f>+[11]BS17!G72</f>
        <v>0</v>
      </c>
      <c r="E94" s="557">
        <f>+[11]BS17!H72</f>
        <v>0</v>
      </c>
      <c r="F94" s="558">
        <f>[11]BS17A!V1098</f>
        <v>4166480</v>
      </c>
    </row>
    <row r="95" spans="1:6" ht="15" customHeight="1" x14ac:dyDescent="0.2">
      <c r="A95" s="669" t="s">
        <v>145</v>
      </c>
      <c r="B95" s="664" t="s">
        <v>146</v>
      </c>
      <c r="C95" s="655">
        <f>+[11]BS17!F73</f>
        <v>71</v>
      </c>
      <c r="D95" s="556">
        <f>+[11]BS17!G73</f>
        <v>0</v>
      </c>
      <c r="E95" s="557">
        <f>+[11]BS17!H73</f>
        <v>0</v>
      </c>
      <c r="F95" s="558">
        <f>[11]BS17A!V1166</f>
        <v>1558870</v>
      </c>
    </row>
    <row r="96" spans="1:6" ht="15" customHeight="1" x14ac:dyDescent="0.2">
      <c r="A96" s="669" t="s">
        <v>147</v>
      </c>
      <c r="B96" s="664" t="s">
        <v>148</v>
      </c>
      <c r="C96" s="655">
        <f>+[11]BS17!F74</f>
        <v>0</v>
      </c>
      <c r="D96" s="556">
        <f>+[11]BS17!G74</f>
        <v>1</v>
      </c>
      <c r="E96" s="557">
        <f>+[11]BS17!H74</f>
        <v>0</v>
      </c>
      <c r="F96" s="558">
        <f>[11]BS17A!V1221</f>
        <v>40120</v>
      </c>
    </row>
    <row r="97" spans="1:6" ht="15" customHeight="1" x14ac:dyDescent="0.2">
      <c r="A97" s="669" t="s">
        <v>149</v>
      </c>
      <c r="B97" s="664" t="s">
        <v>150</v>
      </c>
      <c r="C97" s="655">
        <f>+[11]BS17!F75</f>
        <v>2</v>
      </c>
      <c r="D97" s="556">
        <f>+[11]BS17!G75</f>
        <v>0</v>
      </c>
      <c r="E97" s="557">
        <f>+[11]BS17!H75</f>
        <v>0</v>
      </c>
      <c r="F97" s="558">
        <f>[11]BS17A!V1287</f>
        <v>170120</v>
      </c>
    </row>
    <row r="98" spans="1:6" ht="15" customHeight="1" x14ac:dyDescent="0.2">
      <c r="A98" s="669" t="s">
        <v>151</v>
      </c>
      <c r="B98" s="664" t="s">
        <v>152</v>
      </c>
      <c r="C98" s="655">
        <f>+[11]BS17!F76</f>
        <v>148</v>
      </c>
      <c r="D98" s="556">
        <f>+[11]BS17!G76</f>
        <v>27</v>
      </c>
      <c r="E98" s="557">
        <f>+[11]BS17!H76</f>
        <v>1</v>
      </c>
      <c r="F98" s="558">
        <f>[11]BS17A!V1357</f>
        <v>37707017.5</v>
      </c>
    </row>
    <row r="99" spans="1:6" ht="15" customHeight="1" x14ac:dyDescent="0.2">
      <c r="A99" s="669" t="s">
        <v>153</v>
      </c>
      <c r="B99" s="664" t="s">
        <v>154</v>
      </c>
      <c r="C99" s="655">
        <f>+[11]BS17!F77</f>
        <v>3</v>
      </c>
      <c r="D99" s="556">
        <f>+[11]BS17!G77</f>
        <v>0</v>
      </c>
      <c r="E99" s="557">
        <f>+[11]BS17!H77</f>
        <v>0</v>
      </c>
      <c r="F99" s="558">
        <f>[11]BS17A!V1441</f>
        <v>331530</v>
      </c>
    </row>
    <row r="100" spans="1:6" ht="15" customHeight="1" x14ac:dyDescent="0.2">
      <c r="A100" s="669" t="s">
        <v>155</v>
      </c>
      <c r="B100" s="664" t="s">
        <v>156</v>
      </c>
      <c r="C100" s="655">
        <f>+[11]BS17!F78</f>
        <v>31</v>
      </c>
      <c r="D100" s="556">
        <f>+[11]BS17!G78</f>
        <v>2</v>
      </c>
      <c r="E100" s="557">
        <f>+[11]BS17!H78</f>
        <v>0</v>
      </c>
      <c r="F100" s="558">
        <f>[11]BS17A!V1489</f>
        <v>5949300</v>
      </c>
    </row>
    <row r="101" spans="1:6" ht="15" customHeight="1" x14ac:dyDescent="0.2">
      <c r="A101" s="669" t="s">
        <v>157</v>
      </c>
      <c r="B101" s="664" t="s">
        <v>158</v>
      </c>
      <c r="C101" s="655">
        <f>+[11]BS17!F79</f>
        <v>9</v>
      </c>
      <c r="D101" s="556">
        <f>+[11]BS17!G79</f>
        <v>0</v>
      </c>
      <c r="E101" s="557">
        <f>+[11]BS17!H79</f>
        <v>0</v>
      </c>
      <c r="F101" s="558">
        <f>[11]BS17A!V1592</f>
        <v>1792940</v>
      </c>
    </row>
    <row r="102" spans="1:6" ht="15" customHeight="1" x14ac:dyDescent="0.2">
      <c r="A102" s="699" t="s">
        <v>159</v>
      </c>
      <c r="B102" s="684" t="s">
        <v>160</v>
      </c>
      <c r="C102" s="656">
        <f>+[11]BS17!F80</f>
        <v>31</v>
      </c>
      <c r="D102" s="559">
        <f>+[11]BS17!G80</f>
        <v>2</v>
      </c>
      <c r="E102" s="560">
        <f>+[11]BS17!H80</f>
        <v>1</v>
      </c>
      <c r="F102" s="561">
        <f>[11]BS17A!V1597</f>
        <v>6161932.5</v>
      </c>
    </row>
    <row r="103" spans="1:6" ht="15" customHeight="1" x14ac:dyDescent="0.2">
      <c r="A103" s="668" t="s">
        <v>161</v>
      </c>
      <c r="B103" s="663" t="s">
        <v>162</v>
      </c>
      <c r="C103" s="654">
        <f>+[11]BS17!F81</f>
        <v>63</v>
      </c>
      <c r="D103" s="553">
        <f>+[11]BS17!G81</f>
        <v>0</v>
      </c>
      <c r="E103" s="554">
        <f>+[11]BS17!H81</f>
        <v>0</v>
      </c>
      <c r="F103" s="555">
        <f>+[11]BS17A!V1631</f>
        <v>7589340</v>
      </c>
    </row>
    <row r="104" spans="1:6" ht="15" customHeight="1" x14ac:dyDescent="0.2">
      <c r="A104" s="669"/>
      <c r="B104" s="664" t="s">
        <v>163</v>
      </c>
      <c r="C104" s="655">
        <f>+[11]BS17A!D1635</f>
        <v>0</v>
      </c>
      <c r="D104" s="556">
        <f>+[11]BS17A!F1635</f>
        <v>0</v>
      </c>
      <c r="E104" s="557">
        <f>+[11]BS17A!G1635</f>
        <v>0</v>
      </c>
      <c r="F104" s="558">
        <f>+[11]BS17A!V1635</f>
        <v>0</v>
      </c>
    </row>
    <row r="105" spans="1:6" ht="15" customHeight="1" x14ac:dyDescent="0.2">
      <c r="A105" s="669"/>
      <c r="B105" s="664" t="s">
        <v>164</v>
      </c>
      <c r="C105" s="655">
        <f>+[11]BS17A!D1634</f>
        <v>39</v>
      </c>
      <c r="D105" s="556">
        <f>+[11]BS17A!F1634</f>
        <v>0</v>
      </c>
      <c r="E105" s="557">
        <f>+[11]BS17A!G1634</f>
        <v>0</v>
      </c>
      <c r="F105" s="558">
        <f>+[11]BS17A!V1634</f>
        <v>5179980</v>
      </c>
    </row>
    <row r="106" spans="1:6" ht="15" customHeight="1" x14ac:dyDescent="0.2">
      <c r="A106" s="670"/>
      <c r="B106" s="678" t="s">
        <v>165</v>
      </c>
      <c r="C106" s="657">
        <f>+[11]BS17A!D1632+[11]BS17A!D1633</f>
        <v>24</v>
      </c>
      <c r="D106" s="563">
        <f>+[11]BS17A!F1632+[11]BS17A!F1633</f>
        <v>0</v>
      </c>
      <c r="E106" s="564">
        <f>+[11]BS17A!G1632+[11]BS17A!G1633</f>
        <v>0</v>
      </c>
      <c r="F106" s="565">
        <f>+[11]BS17A!V1632+[11]BS17A!V1633</f>
        <v>2409360</v>
      </c>
    </row>
    <row r="107" spans="1:6" ht="15" customHeight="1" x14ac:dyDescent="0.2">
      <c r="A107" s="704" t="s">
        <v>166</v>
      </c>
      <c r="B107" s="703" t="s">
        <v>167</v>
      </c>
      <c r="C107" s="658">
        <f>+[11]BS17!F82</f>
        <v>56</v>
      </c>
      <c r="D107" s="566">
        <f>+[11]BS17!G82</f>
        <v>6</v>
      </c>
      <c r="E107" s="567">
        <f>+[11]BS17!H82</f>
        <v>1</v>
      </c>
      <c r="F107" s="568">
        <f>+[11]BS17A!V1639</f>
        <v>10910562.5</v>
      </c>
    </row>
    <row r="108" spans="1:6" ht="15" customHeight="1" x14ac:dyDescent="0.2">
      <c r="A108" s="700">
        <v>2106</v>
      </c>
      <c r="B108" s="678" t="s">
        <v>168</v>
      </c>
      <c r="C108" s="657">
        <f>[11]BS17A!D1845</f>
        <v>14</v>
      </c>
      <c r="D108" s="563">
        <f>[11]BS17A!F1845</f>
        <v>1</v>
      </c>
      <c r="E108" s="564">
        <f>[11]BS17A!G1845</f>
        <v>0</v>
      </c>
      <c r="F108" s="565">
        <f>+[11]BS17A!V1845</f>
        <v>805475</v>
      </c>
    </row>
    <row r="109" spans="1:6" ht="15" customHeight="1" x14ac:dyDescent="0.2">
      <c r="A109" s="676"/>
      <c r="B109" s="675" t="s">
        <v>169</v>
      </c>
      <c r="C109" s="659">
        <f>SUM(C90:C108)-C103</f>
        <v>607</v>
      </c>
      <c r="D109" s="570">
        <f>SUM(D90:D108)-D103</f>
        <v>39</v>
      </c>
      <c r="E109" s="571">
        <f>+SUM(E90:E103)+E107+E108</f>
        <v>3</v>
      </c>
      <c r="F109" s="572">
        <f>+SUM(F90:F103)+F107+F108</f>
        <v>94392817.5</v>
      </c>
    </row>
    <row r="110" spans="1:6" ht="12.75" x14ac:dyDescent="0.2">
      <c r="A110" s="497"/>
      <c r="B110" s="497"/>
      <c r="C110" s="497"/>
      <c r="D110" s="497"/>
      <c r="E110" s="497"/>
      <c r="F110" s="494"/>
    </row>
    <row r="111" spans="1:6" ht="12.75" x14ac:dyDescent="0.2">
      <c r="A111" s="497"/>
      <c r="B111" s="497"/>
      <c r="C111" s="497"/>
      <c r="D111" s="497"/>
      <c r="E111" s="497"/>
      <c r="F111" s="494"/>
    </row>
    <row r="112" spans="1:6" ht="12.75" x14ac:dyDescent="0.2">
      <c r="A112" s="753" t="s">
        <v>170</v>
      </c>
      <c r="B112" s="754"/>
      <c r="C112" s="754"/>
      <c r="D112" s="754"/>
      <c r="E112" s="755"/>
      <c r="F112" s="494"/>
    </row>
    <row r="113" spans="1:6" ht="49.5" customHeight="1" x14ac:dyDescent="0.2">
      <c r="A113" s="499" t="s">
        <v>8</v>
      </c>
      <c r="B113" s="499" t="s">
        <v>9</v>
      </c>
      <c r="C113" s="733" t="s">
        <v>10</v>
      </c>
      <c r="D113" s="545" t="s">
        <v>11</v>
      </c>
      <c r="E113" s="735" t="s">
        <v>12</v>
      </c>
      <c r="F113" s="494"/>
    </row>
    <row r="114" spans="1:6" ht="15" customHeight="1" x14ac:dyDescent="0.2">
      <c r="A114" s="668" t="s">
        <v>171</v>
      </c>
      <c r="B114" s="663" t="s">
        <v>172</v>
      </c>
      <c r="C114" s="617">
        <f>+[11]BS17A!D1636</f>
        <v>80</v>
      </c>
      <c r="D114" s="573">
        <f>+[11]BS17A!U1636</f>
        <v>132810</v>
      </c>
      <c r="E114" s="574">
        <f>+[11]BS17A!V1636</f>
        <v>10624800</v>
      </c>
      <c r="F114" s="497"/>
    </row>
    <row r="115" spans="1:6" ht="15" customHeight="1" x14ac:dyDescent="0.2">
      <c r="A115" s="670" t="s">
        <v>173</v>
      </c>
      <c r="B115" s="697" t="s">
        <v>174</v>
      </c>
      <c r="C115" s="644">
        <f>+[11]BS17A!D1637</f>
        <v>3</v>
      </c>
      <c r="D115" s="575">
        <f>+[11]BS17A!U1637</f>
        <v>139740</v>
      </c>
      <c r="E115" s="550">
        <f>+[11]BS17A!V1637</f>
        <v>419220</v>
      </c>
      <c r="F115" s="497"/>
    </row>
    <row r="116" spans="1:6" ht="15" customHeight="1" x14ac:dyDescent="0.2">
      <c r="A116" s="551"/>
      <c r="B116" s="627" t="s">
        <v>175</v>
      </c>
      <c r="C116" s="551">
        <f>SUM(C114:C115)</f>
        <v>83</v>
      </c>
      <c r="D116" s="523"/>
      <c r="E116" s="552">
        <f>SUM(E114:E115)</f>
        <v>11044020</v>
      </c>
      <c r="F116" s="497"/>
    </row>
    <row r="117" spans="1:6" ht="12.75" x14ac:dyDescent="0.2">
      <c r="A117" s="497"/>
      <c r="B117" s="497"/>
      <c r="C117" s="497"/>
      <c r="D117" s="497"/>
      <c r="E117" s="497"/>
      <c r="F117" s="497"/>
    </row>
    <row r="118" spans="1:6" ht="12.75" x14ac:dyDescent="0.2">
      <c r="A118" s="497"/>
      <c r="B118" s="497"/>
      <c r="C118" s="497"/>
      <c r="D118" s="497"/>
      <c r="E118" s="497"/>
      <c r="F118" s="494"/>
    </row>
    <row r="119" spans="1:6" ht="12.75" x14ac:dyDescent="0.2">
      <c r="A119" s="764" t="s">
        <v>176</v>
      </c>
      <c r="B119" s="764"/>
      <c r="C119" s="764"/>
      <c r="D119" s="497"/>
      <c r="E119" s="497"/>
      <c r="F119" s="494"/>
    </row>
    <row r="120" spans="1:6" ht="38.25" customHeight="1" x14ac:dyDescent="0.2">
      <c r="A120" s="499" t="s">
        <v>8</v>
      </c>
      <c r="B120" s="499" t="s">
        <v>10</v>
      </c>
      <c r="C120" s="499" t="s">
        <v>12</v>
      </c>
      <c r="D120" s="497"/>
      <c r="E120" s="497"/>
      <c r="F120" s="497"/>
    </row>
    <row r="121" spans="1:6" ht="15" customHeight="1" x14ac:dyDescent="0.2">
      <c r="A121" s="576" t="s">
        <v>177</v>
      </c>
      <c r="B121" s="577" t="s">
        <v>178</v>
      </c>
      <c r="C121" s="578">
        <f>+[11]BS17A!V1871+[11]BS17A!V1889+[11]BS17A!V1914</f>
        <v>10329000</v>
      </c>
      <c r="D121" s="497"/>
      <c r="E121" s="497"/>
      <c r="F121" s="497"/>
    </row>
    <row r="122" spans="1:6" ht="12.75" x14ac:dyDescent="0.2">
      <c r="A122" s="497"/>
      <c r="B122" s="497"/>
      <c r="C122" s="497"/>
      <c r="D122" s="497"/>
      <c r="E122" s="494"/>
      <c r="F122" s="497"/>
    </row>
    <row r="123" spans="1:6" ht="12.75" x14ac:dyDescent="0.2">
      <c r="A123" s="497"/>
      <c r="B123" s="497"/>
      <c r="C123" s="497"/>
      <c r="D123" s="497"/>
      <c r="E123" s="494"/>
      <c r="F123" s="497"/>
    </row>
    <row r="124" spans="1:6" ht="12.75" x14ac:dyDescent="0.2">
      <c r="A124" s="753" t="s">
        <v>179</v>
      </c>
      <c r="B124" s="754"/>
      <c r="C124" s="754"/>
      <c r="D124" s="754"/>
      <c r="E124" s="755"/>
      <c r="F124" s="494"/>
    </row>
    <row r="125" spans="1:6" ht="45.75" customHeight="1" x14ac:dyDescent="0.2">
      <c r="A125" s="499" t="s">
        <v>8</v>
      </c>
      <c r="B125" s="499" t="s">
        <v>9</v>
      </c>
      <c r="C125" s="733" t="s">
        <v>10</v>
      </c>
      <c r="D125" s="545" t="s">
        <v>11</v>
      </c>
      <c r="E125" s="735" t="s">
        <v>12</v>
      </c>
      <c r="F125" s="494"/>
    </row>
    <row r="126" spans="1:6" ht="15" customHeight="1" x14ac:dyDescent="0.2">
      <c r="A126" s="668" t="s">
        <v>180</v>
      </c>
      <c r="B126" s="685" t="s">
        <v>181</v>
      </c>
      <c r="C126" s="617">
        <f>+[11]BS17A!$D59</f>
        <v>5528</v>
      </c>
      <c r="D126" s="510">
        <f>+[11]BS17A!$U59</f>
        <v>34010</v>
      </c>
      <c r="E126" s="579">
        <f>+[11]BS17A!$V59</f>
        <v>188007280</v>
      </c>
      <c r="F126" s="497"/>
    </row>
    <row r="127" spans="1:6" ht="15" customHeight="1" x14ac:dyDescent="0.2">
      <c r="A127" s="669" t="s">
        <v>182</v>
      </c>
      <c r="B127" s="665" t="s">
        <v>183</v>
      </c>
      <c r="C127" s="614">
        <f>+[11]BS17A!$D60</f>
        <v>0</v>
      </c>
      <c r="D127" s="505">
        <f>+[11]BS17A!$U60</f>
        <v>31310</v>
      </c>
      <c r="E127" s="580">
        <f>+[11]BS17A!$V60</f>
        <v>0</v>
      </c>
      <c r="F127" s="497"/>
    </row>
    <row r="128" spans="1:6" ht="15" customHeight="1" x14ac:dyDescent="0.2">
      <c r="A128" s="669" t="s">
        <v>184</v>
      </c>
      <c r="B128" s="665" t="s">
        <v>185</v>
      </c>
      <c r="C128" s="614">
        <f>+[11]BS17A!$D61</f>
        <v>0</v>
      </c>
      <c r="D128" s="505">
        <f>+[11]BS17A!$U61</f>
        <v>26100</v>
      </c>
      <c r="E128" s="580">
        <f>+[11]BS17A!$V61</f>
        <v>0</v>
      </c>
      <c r="F128" s="497"/>
    </row>
    <row r="129" spans="1:6" ht="15" customHeight="1" x14ac:dyDescent="0.2">
      <c r="A129" s="669" t="s">
        <v>186</v>
      </c>
      <c r="B129" s="665" t="s">
        <v>187</v>
      </c>
      <c r="C129" s="614">
        <f>SUM([11]BS17A!D62:D64)</f>
        <v>230</v>
      </c>
      <c r="D129" s="505">
        <f>+[11]BS17A!$U62</f>
        <v>141410</v>
      </c>
      <c r="E129" s="580">
        <f>SUM([11]BS17A!V62:V64)</f>
        <v>32524300</v>
      </c>
      <c r="F129" s="497"/>
    </row>
    <row r="130" spans="1:6" ht="15" customHeight="1" x14ac:dyDescent="0.2">
      <c r="A130" s="669" t="s">
        <v>188</v>
      </c>
      <c r="B130" s="665" t="s">
        <v>189</v>
      </c>
      <c r="C130" s="614">
        <f>SUM([11]BS17A!D65:D67)</f>
        <v>286</v>
      </c>
      <c r="D130" s="505">
        <f>+[11]BS17A!$U65</f>
        <v>68290</v>
      </c>
      <c r="E130" s="580">
        <f>SUM([11]BS17A!V65:V67)</f>
        <v>19530940</v>
      </c>
      <c r="F130" s="497"/>
    </row>
    <row r="131" spans="1:6" ht="15" customHeight="1" x14ac:dyDescent="0.2">
      <c r="A131" s="669" t="s">
        <v>190</v>
      </c>
      <c r="B131" s="665" t="s">
        <v>191</v>
      </c>
      <c r="C131" s="614">
        <f>+[11]BS17A!D68</f>
        <v>173</v>
      </c>
      <c r="D131" s="505">
        <f>+[11]BS17A!$U68</f>
        <v>61270</v>
      </c>
      <c r="E131" s="580">
        <f>+[11]BS17A!$V68</f>
        <v>10599710</v>
      </c>
      <c r="F131" s="497"/>
    </row>
    <row r="132" spans="1:6" ht="15" customHeight="1" x14ac:dyDescent="0.2">
      <c r="A132" s="669" t="s">
        <v>192</v>
      </c>
      <c r="B132" s="665" t="s">
        <v>193</v>
      </c>
      <c r="C132" s="614">
        <f>+[11]BS17A!$D69</f>
        <v>0</v>
      </c>
      <c r="D132" s="505">
        <f>+[11]BS17A!$U69</f>
        <v>17390</v>
      </c>
      <c r="E132" s="580">
        <f>+[11]BS17A!$V69</f>
        <v>0</v>
      </c>
      <c r="F132" s="497"/>
    </row>
    <row r="133" spans="1:6" ht="15" customHeight="1" x14ac:dyDescent="0.2">
      <c r="A133" s="669" t="s">
        <v>194</v>
      </c>
      <c r="B133" s="665" t="s">
        <v>195</v>
      </c>
      <c r="C133" s="614">
        <f>+[11]BS17A!$D70</f>
        <v>0</v>
      </c>
      <c r="D133" s="505">
        <f>+[11]BS17A!$U70</f>
        <v>27240</v>
      </c>
      <c r="E133" s="580">
        <f>+[11]BS17A!$V70</f>
        <v>0</v>
      </c>
      <c r="F133" s="497"/>
    </row>
    <row r="134" spans="1:6" ht="15" customHeight="1" x14ac:dyDescent="0.2">
      <c r="A134" s="669" t="s">
        <v>196</v>
      </c>
      <c r="B134" s="665" t="s">
        <v>197</v>
      </c>
      <c r="C134" s="614">
        <f>+[11]BS17A!$D73</f>
        <v>0</v>
      </c>
      <c r="D134" s="505">
        <f>+[11]BS17A!$U73</f>
        <v>27470</v>
      </c>
      <c r="E134" s="580">
        <f>+[11]BS17A!$V73</f>
        <v>0</v>
      </c>
      <c r="F134" s="497"/>
    </row>
    <row r="135" spans="1:6" ht="15" customHeight="1" x14ac:dyDescent="0.2">
      <c r="A135" s="669" t="s">
        <v>198</v>
      </c>
      <c r="B135" s="665" t="s">
        <v>199</v>
      </c>
      <c r="C135" s="614">
        <f>+[11]BS17A!$D71</f>
        <v>0</v>
      </c>
      <c r="D135" s="505">
        <f>+[11]BS17A!$U71</f>
        <v>28360</v>
      </c>
      <c r="E135" s="580">
        <f>+[11]BS17A!$V71</f>
        <v>0</v>
      </c>
      <c r="F135" s="497"/>
    </row>
    <row r="136" spans="1:6" ht="15" customHeight="1" x14ac:dyDescent="0.2">
      <c r="A136" s="669" t="s">
        <v>200</v>
      </c>
      <c r="B136" s="665" t="s">
        <v>201</v>
      </c>
      <c r="C136" s="614">
        <f>+[11]BS17A!$D76</f>
        <v>0</v>
      </c>
      <c r="D136" s="505">
        <f>+[11]BS17A!$U76</f>
        <v>34010</v>
      </c>
      <c r="E136" s="580">
        <f>+[11]BS17A!$V76</f>
        <v>0</v>
      </c>
      <c r="F136" s="497"/>
    </row>
    <row r="137" spans="1:6" ht="15" customHeight="1" x14ac:dyDescent="0.2">
      <c r="A137" s="669" t="s">
        <v>202</v>
      </c>
      <c r="B137" s="664" t="s">
        <v>203</v>
      </c>
      <c r="C137" s="614">
        <f>+[11]BS17A!$D79</f>
        <v>37</v>
      </c>
      <c r="D137" s="505">
        <f>+[11]BS17A!$U79</f>
        <v>6600</v>
      </c>
      <c r="E137" s="580">
        <f>+[11]BS17A!$V79</f>
        <v>244200</v>
      </c>
      <c r="F137" s="497"/>
    </row>
    <row r="138" spans="1:6" ht="15" customHeight="1" x14ac:dyDescent="0.2">
      <c r="A138" s="669" t="s">
        <v>204</v>
      </c>
      <c r="B138" s="664" t="s">
        <v>205</v>
      </c>
      <c r="C138" s="614">
        <f>+[11]BS17A!$D80</f>
        <v>0</v>
      </c>
      <c r="D138" s="505">
        <f>+[11]BS17A!$U80</f>
        <v>47670</v>
      </c>
      <c r="E138" s="580">
        <f>+[11]BS17A!$V80</f>
        <v>0</v>
      </c>
      <c r="F138" s="497"/>
    </row>
    <row r="139" spans="1:6" ht="15" customHeight="1" x14ac:dyDescent="0.2">
      <c r="A139" s="670"/>
      <c r="B139" s="701" t="s">
        <v>206</v>
      </c>
      <c r="C139" s="653">
        <f>SUM(C126:C138)</f>
        <v>6254</v>
      </c>
      <c r="D139" s="581"/>
      <c r="E139" s="582">
        <f>SUM(E126:E138)</f>
        <v>250906430</v>
      </c>
      <c r="F139" s="497"/>
    </row>
    <row r="140" spans="1:6" ht="15" customHeight="1" x14ac:dyDescent="0.2">
      <c r="A140" s="668"/>
      <c r="B140" s="702" t="s">
        <v>207</v>
      </c>
      <c r="C140" s="617"/>
      <c r="D140" s="510"/>
      <c r="E140" s="579"/>
      <c r="F140" s="497"/>
    </row>
    <row r="141" spans="1:6" ht="15" customHeight="1" x14ac:dyDescent="0.2">
      <c r="A141" s="669" t="s">
        <v>208</v>
      </c>
      <c r="B141" s="665" t="s">
        <v>209</v>
      </c>
      <c r="C141" s="614">
        <f>+[11]BS17A!$D72</f>
        <v>0</v>
      </c>
      <c r="D141" s="505">
        <f>+[11]BS17A!$U72</f>
        <v>11430</v>
      </c>
      <c r="E141" s="580">
        <f>+[11]BS17A!$V72</f>
        <v>0</v>
      </c>
      <c r="F141" s="497"/>
    </row>
    <row r="142" spans="1:6" ht="15" customHeight="1" x14ac:dyDescent="0.2">
      <c r="A142" s="669" t="s">
        <v>210</v>
      </c>
      <c r="B142" s="665" t="s">
        <v>211</v>
      </c>
      <c r="C142" s="614">
        <f>+[11]BS17A!$D74</f>
        <v>0</v>
      </c>
      <c r="D142" s="505">
        <f>+[11]BS17A!$U74</f>
        <v>11430</v>
      </c>
      <c r="E142" s="580">
        <f>+[11]BS17A!$V74</f>
        <v>0</v>
      </c>
      <c r="F142" s="497"/>
    </row>
    <row r="143" spans="1:6" ht="15" customHeight="1" x14ac:dyDescent="0.2">
      <c r="A143" s="669" t="s">
        <v>212</v>
      </c>
      <c r="B143" s="665" t="s">
        <v>213</v>
      </c>
      <c r="C143" s="614">
        <f>+[11]BS17A!$D75</f>
        <v>1</v>
      </c>
      <c r="D143" s="505">
        <f>+[11]BS17A!$U75</f>
        <v>5040</v>
      </c>
      <c r="E143" s="580">
        <f>+[11]BS17A!$V75</f>
        <v>5040</v>
      </c>
      <c r="F143" s="497"/>
    </row>
    <row r="144" spans="1:6" ht="15" customHeight="1" x14ac:dyDescent="0.2">
      <c r="A144" s="669" t="s">
        <v>214</v>
      </c>
      <c r="B144" s="665" t="s">
        <v>215</v>
      </c>
      <c r="C144" s="614">
        <f>+[11]BS17A!$D77</f>
        <v>0</v>
      </c>
      <c r="D144" s="505">
        <f>+[11]BS17A!$U77</f>
        <v>91950</v>
      </c>
      <c r="E144" s="580">
        <f>+[11]BS17A!$V77</f>
        <v>0</v>
      </c>
      <c r="F144" s="497"/>
    </row>
    <row r="145" spans="1:6" ht="15" customHeight="1" x14ac:dyDescent="0.2">
      <c r="A145" s="669" t="s">
        <v>216</v>
      </c>
      <c r="B145" s="665" t="s">
        <v>217</v>
      </c>
      <c r="C145" s="614">
        <f>+[11]BS17A!$D78</f>
        <v>0</v>
      </c>
      <c r="D145" s="505">
        <f>+[11]BS17A!$U78</f>
        <v>10860</v>
      </c>
      <c r="E145" s="580">
        <f>+[11]BS17A!$V78</f>
        <v>0</v>
      </c>
      <c r="F145" s="497"/>
    </row>
    <row r="146" spans="1:6" ht="15" customHeight="1" x14ac:dyDescent="0.2">
      <c r="A146" s="669" t="s">
        <v>218</v>
      </c>
      <c r="B146" s="665" t="s">
        <v>219</v>
      </c>
      <c r="C146" s="614">
        <f>+[11]BS17A!$D81</f>
        <v>0</v>
      </c>
      <c r="D146" s="505">
        <f>+[11]BS17A!$U81</f>
        <v>8360</v>
      </c>
      <c r="E146" s="580">
        <f>+[11]BS17A!$V81</f>
        <v>0</v>
      </c>
      <c r="F146" s="497"/>
    </row>
    <row r="147" spans="1:6" ht="15" customHeight="1" x14ac:dyDescent="0.2">
      <c r="A147" s="670"/>
      <c r="B147" s="701" t="s">
        <v>220</v>
      </c>
      <c r="C147" s="653">
        <f>SUM(C141:C146)</f>
        <v>1</v>
      </c>
      <c r="D147" s="581"/>
      <c r="E147" s="582">
        <f>SUM(E141:E146)</f>
        <v>5040</v>
      </c>
      <c r="F147" s="497"/>
    </row>
    <row r="148" spans="1:6" ht="15" customHeight="1" x14ac:dyDescent="0.2">
      <c r="A148" s="676"/>
      <c r="B148" s="675" t="s">
        <v>221</v>
      </c>
      <c r="C148" s="514">
        <f>+C139+C147</f>
        <v>6255</v>
      </c>
      <c r="D148" s="583"/>
      <c r="E148" s="584">
        <f>+E139+E147</f>
        <v>250911470</v>
      </c>
      <c r="F148" s="497"/>
    </row>
    <row r="149" spans="1:6" ht="12.75" x14ac:dyDescent="0.2">
      <c r="A149" s="497"/>
      <c r="B149" s="497"/>
      <c r="C149" s="497"/>
      <c r="D149" s="497"/>
      <c r="E149" s="497"/>
      <c r="F149" s="497"/>
    </row>
    <row r="150" spans="1:6" ht="12.75" x14ac:dyDescent="0.2">
      <c r="A150" s="497"/>
      <c r="B150" s="497"/>
      <c r="C150" s="497"/>
      <c r="D150" s="497"/>
      <c r="E150" s="497"/>
      <c r="F150" s="494"/>
    </row>
    <row r="151" spans="1:6" ht="12.75" x14ac:dyDescent="0.2">
      <c r="A151" s="745" t="s">
        <v>222</v>
      </c>
      <c r="B151" s="746"/>
      <c r="C151" s="746"/>
      <c r="D151" s="746"/>
      <c r="E151" s="747"/>
      <c r="F151" s="494"/>
    </row>
    <row r="152" spans="1:6" ht="47.25" customHeight="1" x14ac:dyDescent="0.2">
      <c r="A152" s="499" t="s">
        <v>8</v>
      </c>
      <c r="B152" s="499" t="s">
        <v>9</v>
      </c>
      <c r="C152" s="733" t="s">
        <v>10</v>
      </c>
      <c r="D152" s="545" t="s">
        <v>11</v>
      </c>
      <c r="E152" s="735" t="s">
        <v>12</v>
      </c>
      <c r="F152" s="497"/>
    </row>
    <row r="153" spans="1:6" ht="15" customHeight="1" x14ac:dyDescent="0.2">
      <c r="A153" s="668" t="s">
        <v>223</v>
      </c>
      <c r="B153" s="685" t="s">
        <v>224</v>
      </c>
      <c r="C153" s="617">
        <f>+[11]BS17A!D43</f>
        <v>193</v>
      </c>
      <c r="D153" s="510">
        <f>[11]BS17A!U43</f>
        <v>780</v>
      </c>
      <c r="E153" s="579">
        <f>+[11]BS17A!V43</f>
        <v>150540</v>
      </c>
      <c r="F153" s="497"/>
    </row>
    <row r="154" spans="1:6" ht="15" customHeight="1" x14ac:dyDescent="0.2">
      <c r="A154" s="670" t="s">
        <v>225</v>
      </c>
      <c r="B154" s="666" t="s">
        <v>226</v>
      </c>
      <c r="C154" s="629">
        <f>+[11]BS17A!D44+[11]BS17A!D45</f>
        <v>0</v>
      </c>
      <c r="D154" s="512">
        <f>[11]BS17A!U44</f>
        <v>100</v>
      </c>
      <c r="E154" s="585">
        <f>+[11]BS17A!V44+[11]BS17A!V45</f>
        <v>0</v>
      </c>
      <c r="F154" s="497"/>
    </row>
    <row r="155" spans="1:6" ht="15" customHeight="1" x14ac:dyDescent="0.2">
      <c r="A155" s="676"/>
      <c r="B155" s="675" t="s">
        <v>227</v>
      </c>
      <c r="C155" s="514">
        <f>SUM(C153:C154)</f>
        <v>193</v>
      </c>
      <c r="D155" s="583"/>
      <c r="E155" s="584">
        <f>SUM(E153:E154)</f>
        <v>150540</v>
      </c>
      <c r="F155" s="497"/>
    </row>
    <row r="156" spans="1:6" ht="12.75" x14ac:dyDescent="0.2">
      <c r="A156" s="497"/>
      <c r="B156" s="497"/>
      <c r="C156" s="497"/>
      <c r="D156" s="497"/>
      <c r="E156" s="497"/>
      <c r="F156" s="497"/>
    </row>
    <row r="157" spans="1:6" ht="12.75" x14ac:dyDescent="0.2">
      <c r="A157" s="497"/>
      <c r="B157" s="497"/>
      <c r="C157" s="497"/>
      <c r="D157" s="497"/>
      <c r="E157" s="497"/>
      <c r="F157" s="497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494"/>
    </row>
    <row r="159" spans="1:6" ht="47.25" customHeight="1" x14ac:dyDescent="0.2">
      <c r="A159" s="499" t="s">
        <v>8</v>
      </c>
      <c r="B159" s="499" t="s">
        <v>9</v>
      </c>
      <c r="C159" s="733" t="s">
        <v>10</v>
      </c>
      <c r="D159" s="545" t="s">
        <v>11</v>
      </c>
      <c r="E159" s="735" t="s">
        <v>12</v>
      </c>
      <c r="F159" s="497"/>
    </row>
    <row r="160" spans="1:6" ht="15" customHeight="1" x14ac:dyDescent="0.2">
      <c r="A160" s="668" t="s">
        <v>229</v>
      </c>
      <c r="B160" s="663" t="s">
        <v>230</v>
      </c>
      <c r="C160" s="648">
        <f>+[11]BS17A!$D1481</f>
        <v>0</v>
      </c>
      <c r="D160" s="510">
        <f>+[11]BS17A!$U1481</f>
        <v>42830</v>
      </c>
      <c r="E160" s="579">
        <f>+[11]BS17A!$V1481</f>
        <v>0</v>
      </c>
      <c r="F160" s="497"/>
    </row>
    <row r="161" spans="1:6" ht="15" customHeight="1" x14ac:dyDescent="0.2">
      <c r="A161" s="669" t="s">
        <v>231</v>
      </c>
      <c r="B161" s="665" t="s">
        <v>232</v>
      </c>
      <c r="C161" s="652">
        <f>+[11]BS17A!$D1482</f>
        <v>0</v>
      </c>
      <c r="D161" s="505">
        <f>+[11]BS17A!$U1482</f>
        <v>26930</v>
      </c>
      <c r="E161" s="580">
        <f>+[11]BS17A!$V1482</f>
        <v>0</v>
      </c>
      <c r="F161" s="497"/>
    </row>
    <row r="162" spans="1:6" ht="15" customHeight="1" x14ac:dyDescent="0.2">
      <c r="A162" s="669" t="s">
        <v>233</v>
      </c>
      <c r="B162" s="664" t="s">
        <v>234</v>
      </c>
      <c r="C162" s="652">
        <f>+[11]BS17A!$D1483</f>
        <v>0</v>
      </c>
      <c r="D162" s="505">
        <f>+[11]BS17A!$U1483</f>
        <v>27740</v>
      </c>
      <c r="E162" s="580">
        <f>+[11]BS17A!$V1483</f>
        <v>0</v>
      </c>
      <c r="F162" s="497"/>
    </row>
    <row r="163" spans="1:6" ht="15" customHeight="1" x14ac:dyDescent="0.2">
      <c r="A163" s="669" t="s">
        <v>235</v>
      </c>
      <c r="B163" s="665" t="s">
        <v>236</v>
      </c>
      <c r="C163" s="652">
        <f>+[11]BS17A!$D1484</f>
        <v>0</v>
      </c>
      <c r="D163" s="505">
        <f>+[11]BS17A!$U1484</f>
        <v>832280</v>
      </c>
      <c r="E163" s="580">
        <f>+[11]BS17A!$V1484</f>
        <v>0</v>
      </c>
      <c r="F163" s="497"/>
    </row>
    <row r="164" spans="1:6" ht="15" customHeight="1" x14ac:dyDescent="0.2">
      <c r="A164" s="669" t="s">
        <v>237</v>
      </c>
      <c r="B164" s="665" t="s">
        <v>238</v>
      </c>
      <c r="C164" s="652">
        <f>+[11]BS17A!$D1485</f>
        <v>0</v>
      </c>
      <c r="D164" s="505">
        <f>+[11]BS17A!$U1485</f>
        <v>378030</v>
      </c>
      <c r="E164" s="580">
        <f>+[11]BS17A!$V1485</f>
        <v>0</v>
      </c>
      <c r="F164" s="497"/>
    </row>
    <row r="165" spans="1:6" ht="15" customHeight="1" x14ac:dyDescent="0.2">
      <c r="A165" s="669" t="s">
        <v>239</v>
      </c>
      <c r="B165" s="665" t="s">
        <v>240</v>
      </c>
      <c r="C165" s="652">
        <f>+[11]BS17A!$D1486</f>
        <v>0</v>
      </c>
      <c r="D165" s="505">
        <f>+[11]BS17A!$U1486</f>
        <v>578050</v>
      </c>
      <c r="E165" s="580">
        <f>+[11]BS17A!$V1486</f>
        <v>0</v>
      </c>
      <c r="F165" s="497"/>
    </row>
    <row r="166" spans="1:6" ht="15" customHeight="1" x14ac:dyDescent="0.2">
      <c r="A166" s="699" t="s">
        <v>241</v>
      </c>
      <c r="B166" s="697" t="s">
        <v>242</v>
      </c>
      <c r="C166" s="652">
        <f>+[11]BS17A!$D1487</f>
        <v>0</v>
      </c>
      <c r="D166" s="505">
        <f>+[11]BS17A!$U1487</f>
        <v>52120</v>
      </c>
      <c r="E166" s="580">
        <f>+[11]BS17A!$V1487</f>
        <v>0</v>
      </c>
      <c r="F166" s="497"/>
    </row>
    <row r="167" spans="1:6" ht="15" customHeight="1" x14ac:dyDescent="0.2">
      <c r="A167" s="700">
        <v>1901029</v>
      </c>
      <c r="B167" s="698" t="s">
        <v>243</v>
      </c>
      <c r="C167" s="649">
        <f>+[11]BS17A!$D1488</f>
        <v>0</v>
      </c>
      <c r="D167" s="512">
        <f>+[11]BS17A!$U1488</f>
        <v>677560</v>
      </c>
      <c r="E167" s="585">
        <f>+[11]BS17A!$V1488</f>
        <v>0</v>
      </c>
      <c r="F167" s="497"/>
    </row>
    <row r="168" spans="1:6" ht="15" customHeight="1" x14ac:dyDescent="0.2">
      <c r="A168" s="569"/>
      <c r="B168" s="586" t="s">
        <v>244</v>
      </c>
      <c r="C168" s="587">
        <f>SUM(C160:C167)</f>
        <v>0</v>
      </c>
      <c r="D168" s="588"/>
      <c r="E168" s="589">
        <f>SUM(E160:E167)</f>
        <v>0</v>
      </c>
      <c r="F168" s="497"/>
    </row>
    <row r="169" spans="1:6" ht="12.75" x14ac:dyDescent="0.2">
      <c r="A169" s="497"/>
      <c r="B169" s="497"/>
      <c r="C169" s="497"/>
      <c r="D169" s="497"/>
      <c r="E169" s="497"/>
      <c r="F169" s="497"/>
    </row>
    <row r="170" spans="1:6" ht="18" customHeight="1" x14ac:dyDescent="0.2">
      <c r="A170" s="497"/>
      <c r="B170" s="497"/>
      <c r="C170" s="497"/>
      <c r="D170" s="497"/>
      <c r="E170" s="497"/>
      <c r="F170" s="497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494"/>
    </row>
    <row r="172" spans="1:6" ht="46.5" customHeight="1" x14ac:dyDescent="0.2">
      <c r="A172" s="499" t="s">
        <v>8</v>
      </c>
      <c r="B172" s="499" t="s">
        <v>9</v>
      </c>
      <c r="C172" s="733" t="s">
        <v>10</v>
      </c>
      <c r="D172" s="545" t="s">
        <v>11</v>
      </c>
      <c r="E172" s="735" t="s">
        <v>12</v>
      </c>
      <c r="F172" s="497"/>
    </row>
    <row r="173" spans="1:6" ht="12.75" customHeight="1" x14ac:dyDescent="0.2">
      <c r="A173" s="696">
        <v>1101004</v>
      </c>
      <c r="B173" s="692" t="s">
        <v>246</v>
      </c>
      <c r="C173" s="617">
        <f>+[11]BS17A!$D805</f>
        <v>14</v>
      </c>
      <c r="D173" s="510">
        <f>+[11]BS17A!$U805</f>
        <v>14690</v>
      </c>
      <c r="E173" s="579">
        <f>+[11]BS17A!$V805</f>
        <v>205660</v>
      </c>
      <c r="F173" s="497"/>
    </row>
    <row r="174" spans="1:6" ht="12.75" customHeight="1" x14ac:dyDescent="0.2">
      <c r="A174" s="691">
        <v>1101006</v>
      </c>
      <c r="B174" s="693" t="s">
        <v>247</v>
      </c>
      <c r="C174" s="614">
        <f>+[11]BS17A!$D806</f>
        <v>0</v>
      </c>
      <c r="D174" s="505">
        <f>+[11]BS17A!$U806</f>
        <v>11740</v>
      </c>
      <c r="E174" s="580">
        <f>+[11]BS17A!$V806</f>
        <v>0</v>
      </c>
      <c r="F174" s="497"/>
    </row>
    <row r="175" spans="1:6" ht="24.75" customHeight="1" x14ac:dyDescent="0.2">
      <c r="A175" s="691" t="s">
        <v>248</v>
      </c>
      <c r="B175" s="694" t="s">
        <v>249</v>
      </c>
      <c r="C175" s="614">
        <f>+[11]BS17A!$D1197</f>
        <v>645</v>
      </c>
      <c r="D175" s="505">
        <f>+[11]BS17A!$U1197</f>
        <v>5030</v>
      </c>
      <c r="E175" s="580">
        <f>+[11]BS17A!$V1197</f>
        <v>3244350</v>
      </c>
      <c r="F175" s="497"/>
    </row>
    <row r="176" spans="1:6" ht="24.75" customHeight="1" x14ac:dyDescent="0.2">
      <c r="A176" s="691" t="s">
        <v>250</v>
      </c>
      <c r="B176" s="694" t="s">
        <v>251</v>
      </c>
      <c r="C176" s="614">
        <f>+[11]BS17A!$D1198</f>
        <v>20</v>
      </c>
      <c r="D176" s="505">
        <f>+[11]BS17A!$U1198</f>
        <v>14180</v>
      </c>
      <c r="E176" s="580">
        <f>+[11]BS17A!$V1198</f>
        <v>283600</v>
      </c>
      <c r="F176" s="497"/>
    </row>
    <row r="177" spans="1:6" ht="24.75" customHeight="1" x14ac:dyDescent="0.2">
      <c r="A177" s="691" t="s">
        <v>252</v>
      </c>
      <c r="B177" s="694" t="s">
        <v>253</v>
      </c>
      <c r="C177" s="614">
        <f>+[11]BS17A!$D1199</f>
        <v>24</v>
      </c>
      <c r="D177" s="505">
        <f>+[11]BS17A!$U1199</f>
        <v>24050</v>
      </c>
      <c r="E177" s="580">
        <f>+[11]BS17A!$V1199</f>
        <v>577200</v>
      </c>
      <c r="F177" s="497"/>
    </row>
    <row r="178" spans="1:6" ht="12.75" customHeight="1" x14ac:dyDescent="0.2">
      <c r="A178" s="691" t="s">
        <v>254</v>
      </c>
      <c r="B178" s="694" t="s">
        <v>255</v>
      </c>
      <c r="C178" s="614">
        <f>+[11]BS17A!$D1200</f>
        <v>0</v>
      </c>
      <c r="D178" s="505">
        <f>+[11]BS17A!$U1200</f>
        <v>45920</v>
      </c>
      <c r="E178" s="580">
        <f>+[11]BS17A!$V1200</f>
        <v>0</v>
      </c>
      <c r="F178" s="497"/>
    </row>
    <row r="179" spans="1:6" ht="12.75" customHeight="1" x14ac:dyDescent="0.2">
      <c r="A179" s="691" t="s">
        <v>256</v>
      </c>
      <c r="B179" s="694" t="s">
        <v>257</v>
      </c>
      <c r="C179" s="614">
        <f>+[11]BS17A!$D1201</f>
        <v>86</v>
      </c>
      <c r="D179" s="505">
        <f>+[11]BS17A!$U1201</f>
        <v>51180</v>
      </c>
      <c r="E179" s="580">
        <f>+[11]BS17A!$V1201</f>
        <v>4401480</v>
      </c>
      <c r="F179" s="497"/>
    </row>
    <row r="180" spans="1:6" ht="24.75" customHeight="1" x14ac:dyDescent="0.2">
      <c r="A180" s="691" t="s">
        <v>258</v>
      </c>
      <c r="B180" s="694" t="s">
        <v>259</v>
      </c>
      <c r="C180" s="614">
        <f>+[11]BS17A!$D1202</f>
        <v>0</v>
      </c>
      <c r="D180" s="505">
        <f>+[11]BS17A!$U1202</f>
        <v>28710</v>
      </c>
      <c r="E180" s="580">
        <f>+[11]BS17A!$V1202</f>
        <v>0</v>
      </c>
      <c r="F180" s="497"/>
    </row>
    <row r="181" spans="1:6" ht="12.75" customHeight="1" x14ac:dyDescent="0.2">
      <c r="A181" s="691" t="s">
        <v>260</v>
      </c>
      <c r="B181" s="695" t="s">
        <v>261</v>
      </c>
      <c r="C181" s="614">
        <f>+[11]BS17A!$D1203</f>
        <v>0</v>
      </c>
      <c r="D181" s="505">
        <f>+[11]BS17A!$U1203</f>
        <v>222100</v>
      </c>
      <c r="E181" s="580">
        <f>+[11]BS17A!$V1203</f>
        <v>0</v>
      </c>
      <c r="F181" s="497"/>
    </row>
    <row r="182" spans="1:6" ht="12.75" customHeight="1" x14ac:dyDescent="0.2">
      <c r="A182" s="691" t="s">
        <v>262</v>
      </c>
      <c r="B182" s="694" t="s">
        <v>263</v>
      </c>
      <c r="C182" s="614">
        <f>+[11]BS17A!$D1204</f>
        <v>0</v>
      </c>
      <c r="D182" s="505">
        <f>+[11]BS17A!$U1204</f>
        <v>252490</v>
      </c>
      <c r="E182" s="580">
        <f>+[11]BS17A!$V1204</f>
        <v>0</v>
      </c>
      <c r="F182" s="497"/>
    </row>
    <row r="183" spans="1:6" ht="12.75" customHeight="1" x14ac:dyDescent="0.2">
      <c r="A183" s="691" t="s">
        <v>264</v>
      </c>
      <c r="B183" s="694" t="s">
        <v>265</v>
      </c>
      <c r="C183" s="614">
        <f>+[11]BS17A!$D1205</f>
        <v>0</v>
      </c>
      <c r="D183" s="505">
        <f>+[11]BS17A!$U1205</f>
        <v>205900</v>
      </c>
      <c r="E183" s="580">
        <f>+[11]BS17A!$V1205</f>
        <v>0</v>
      </c>
      <c r="F183" s="497"/>
    </row>
    <row r="184" spans="1:6" ht="24.75" customHeight="1" x14ac:dyDescent="0.2">
      <c r="A184" s="691" t="s">
        <v>266</v>
      </c>
      <c r="B184" s="695" t="s">
        <v>267</v>
      </c>
      <c r="C184" s="614">
        <f>+[11]BS17A!$D1206</f>
        <v>0</v>
      </c>
      <c r="D184" s="505">
        <f>+[11]BS17A!$U1206</f>
        <v>264470</v>
      </c>
      <c r="E184" s="580">
        <f>+[11]BS17A!$V1206</f>
        <v>0</v>
      </c>
      <c r="F184" s="497"/>
    </row>
    <row r="185" spans="1:6" ht="24.75" customHeight="1" x14ac:dyDescent="0.2">
      <c r="A185" s="691" t="s">
        <v>268</v>
      </c>
      <c r="B185" s="695" t="s">
        <v>269</v>
      </c>
      <c r="C185" s="614">
        <f>+[11]BS17A!$D1207</f>
        <v>0</v>
      </c>
      <c r="D185" s="505">
        <f>+[11]BS17A!$U1207</f>
        <v>270610</v>
      </c>
      <c r="E185" s="580">
        <f>+[11]BS17A!$V1207</f>
        <v>0</v>
      </c>
      <c r="F185" s="497"/>
    </row>
    <row r="186" spans="1:6" ht="24.75" customHeight="1" x14ac:dyDescent="0.2">
      <c r="A186" s="691" t="s">
        <v>270</v>
      </c>
      <c r="B186" s="695" t="s">
        <v>271</v>
      </c>
      <c r="C186" s="614">
        <f>+[11]BS17A!$D1208</f>
        <v>0</v>
      </c>
      <c r="D186" s="505">
        <f>+[11]BS17A!$U1208</f>
        <v>228850</v>
      </c>
      <c r="E186" s="580">
        <f>+[11]BS17A!$V1208</f>
        <v>0</v>
      </c>
      <c r="F186" s="497"/>
    </row>
    <row r="187" spans="1:6" ht="12.75" customHeight="1" x14ac:dyDescent="0.2">
      <c r="A187" s="691" t="s">
        <v>272</v>
      </c>
      <c r="B187" s="695" t="s">
        <v>273</v>
      </c>
      <c r="C187" s="614">
        <f>+[11]BS17A!$D1209</f>
        <v>0</v>
      </c>
      <c r="D187" s="505">
        <f>+[11]BS17A!$U1209</f>
        <v>244270</v>
      </c>
      <c r="E187" s="580">
        <f>+[11]BS17A!$V1209</f>
        <v>0</v>
      </c>
      <c r="F187" s="497"/>
    </row>
    <row r="188" spans="1:6" ht="12.75" customHeight="1" x14ac:dyDescent="0.2">
      <c r="A188" s="691" t="s">
        <v>274</v>
      </c>
      <c r="B188" s="695" t="s">
        <v>275</v>
      </c>
      <c r="C188" s="614">
        <f>+[11]BS17A!$D1210</f>
        <v>0</v>
      </c>
      <c r="D188" s="505">
        <f>+[11]BS17A!$U1210</f>
        <v>292090</v>
      </c>
      <c r="E188" s="580">
        <f>+[11]BS17A!$V1210</f>
        <v>0</v>
      </c>
      <c r="F188" s="497"/>
    </row>
    <row r="189" spans="1:6" ht="24.75" customHeight="1" x14ac:dyDescent="0.2">
      <c r="A189" s="691" t="s">
        <v>276</v>
      </c>
      <c r="B189" s="694" t="s">
        <v>277</v>
      </c>
      <c r="C189" s="614">
        <f>+[11]BS17A!$D1211</f>
        <v>0</v>
      </c>
      <c r="D189" s="505">
        <f>+[11]BS17A!$U1211</f>
        <v>259010</v>
      </c>
      <c r="E189" s="580">
        <f>+[11]BS17A!$V1211</f>
        <v>0</v>
      </c>
      <c r="F189" s="497"/>
    </row>
    <row r="190" spans="1:6" ht="24.75" customHeight="1" x14ac:dyDescent="0.2">
      <c r="A190" s="691" t="s">
        <v>278</v>
      </c>
      <c r="B190" s="695" t="s">
        <v>279</v>
      </c>
      <c r="C190" s="614">
        <f>+[11]BS17A!$D1212</f>
        <v>0</v>
      </c>
      <c r="D190" s="505">
        <f>+[11]BS17A!$U1212</f>
        <v>1895520</v>
      </c>
      <c r="E190" s="580">
        <f>+[11]BS17A!$V1212</f>
        <v>0</v>
      </c>
      <c r="F190" s="497"/>
    </row>
    <row r="191" spans="1:6" ht="12.75" customHeight="1" x14ac:dyDescent="0.2">
      <c r="A191" s="691" t="s">
        <v>280</v>
      </c>
      <c r="B191" s="695" t="s">
        <v>281</v>
      </c>
      <c r="C191" s="614">
        <f>+[11]BS17A!$D1213</f>
        <v>0</v>
      </c>
      <c r="D191" s="505">
        <f>+[11]BS17A!$U1213</f>
        <v>1183940</v>
      </c>
      <c r="E191" s="580">
        <f>+[11]BS17A!$V1213</f>
        <v>0</v>
      </c>
      <c r="F191" s="497"/>
    </row>
    <row r="192" spans="1:6" ht="12.75" customHeight="1" x14ac:dyDescent="0.2">
      <c r="A192" s="669" t="s">
        <v>282</v>
      </c>
      <c r="B192" s="695" t="s">
        <v>283</v>
      </c>
      <c r="C192" s="614">
        <f>+[11]BS17A!$D1214</f>
        <v>0</v>
      </c>
      <c r="D192" s="505">
        <f>+[11]BS17A!$U1214</f>
        <v>1145920</v>
      </c>
      <c r="E192" s="580">
        <f>+[11]BS17A!$V1214</f>
        <v>0</v>
      </c>
      <c r="F192" s="497"/>
    </row>
    <row r="193" spans="1:6" ht="24.75" customHeight="1" x14ac:dyDescent="0.2">
      <c r="A193" s="691" t="s">
        <v>284</v>
      </c>
      <c r="B193" s="695" t="s">
        <v>285</v>
      </c>
      <c r="C193" s="614">
        <f>+[11]BS17A!$D1215</f>
        <v>0</v>
      </c>
      <c r="D193" s="505">
        <f>+[11]BS17A!$U1215</f>
        <v>1200500</v>
      </c>
      <c r="E193" s="580">
        <f>+[11]BS17A!$V1215</f>
        <v>0</v>
      </c>
      <c r="F193" s="497"/>
    </row>
    <row r="194" spans="1:6" ht="12.75" customHeight="1" x14ac:dyDescent="0.2">
      <c r="A194" s="669" t="s">
        <v>286</v>
      </c>
      <c r="B194" s="695" t="s">
        <v>287</v>
      </c>
      <c r="C194" s="614">
        <f>+[11]BS17A!$D1216</f>
        <v>0</v>
      </c>
      <c r="D194" s="505">
        <f>+[11]BS17A!$U1216</f>
        <v>169880</v>
      </c>
      <c r="E194" s="580">
        <f>+[11]BS17A!$V1216</f>
        <v>0</v>
      </c>
      <c r="F194" s="497"/>
    </row>
    <row r="195" spans="1:6" ht="12.75" customHeight="1" x14ac:dyDescent="0.2">
      <c r="A195" s="669" t="s">
        <v>288</v>
      </c>
      <c r="B195" s="695" t="s">
        <v>289</v>
      </c>
      <c r="C195" s="614">
        <f>+[11]BS17A!$D1217</f>
        <v>0</v>
      </c>
      <c r="D195" s="505">
        <f>+[11]BS17A!$U1217</f>
        <v>387660</v>
      </c>
      <c r="E195" s="580">
        <f>+[11]BS17A!$V1217</f>
        <v>0</v>
      </c>
      <c r="F195" s="497"/>
    </row>
    <row r="196" spans="1:6" ht="12.75" customHeight="1" x14ac:dyDescent="0.2">
      <c r="A196" s="691" t="s">
        <v>290</v>
      </c>
      <c r="B196" s="695" t="s">
        <v>291</v>
      </c>
      <c r="C196" s="614">
        <f>+[11]BS17A!$D1218</f>
        <v>0</v>
      </c>
      <c r="D196" s="505">
        <f>+[11]BS17A!$U1218</f>
        <v>143720</v>
      </c>
      <c r="E196" s="580">
        <f>+[11]BS17A!$V1218</f>
        <v>0</v>
      </c>
      <c r="F196" s="497"/>
    </row>
    <row r="197" spans="1:6" ht="12.75" customHeight="1" x14ac:dyDescent="0.2">
      <c r="A197" s="691" t="s">
        <v>292</v>
      </c>
      <c r="B197" s="695" t="s">
        <v>293</v>
      </c>
      <c r="C197" s="614">
        <f>+[11]BS17A!$D1219</f>
        <v>0</v>
      </c>
      <c r="D197" s="505">
        <f>+[11]BS17A!$U1219</f>
        <v>1164440</v>
      </c>
      <c r="E197" s="580">
        <f>+[11]BS17A!$V1219</f>
        <v>0</v>
      </c>
      <c r="F197" s="497"/>
    </row>
    <row r="198" spans="1:6" ht="12.75" customHeight="1" x14ac:dyDescent="0.2">
      <c r="A198" s="691" t="s">
        <v>294</v>
      </c>
      <c r="B198" s="695" t="s">
        <v>295</v>
      </c>
      <c r="C198" s="614">
        <f>+[11]BS17A!$D1220</f>
        <v>0</v>
      </c>
      <c r="D198" s="505">
        <f>+[11]BS17A!$U1220</f>
        <v>1164440</v>
      </c>
      <c r="E198" s="580">
        <f>+[11]BS17A!$V1220</f>
        <v>0</v>
      </c>
      <c r="F198" s="497"/>
    </row>
    <row r="199" spans="1:6" ht="12.75" customHeight="1" x14ac:dyDescent="0.2">
      <c r="A199" s="691">
        <v>1801001</v>
      </c>
      <c r="B199" s="693" t="s">
        <v>296</v>
      </c>
      <c r="C199" s="614">
        <f>+[11]BS17A!$D1354</f>
        <v>19</v>
      </c>
      <c r="D199" s="505">
        <f>+[11]BS17A!$U1354</f>
        <v>34730</v>
      </c>
      <c r="E199" s="580">
        <f>+[11]BS17A!$V1354</f>
        <v>659870</v>
      </c>
      <c r="F199" s="497"/>
    </row>
    <row r="200" spans="1:6" ht="12.75" customHeight="1" x14ac:dyDescent="0.2">
      <c r="A200" s="691">
        <v>1801003</v>
      </c>
      <c r="B200" s="695" t="s">
        <v>297</v>
      </c>
      <c r="C200" s="614">
        <f>+[11]BS17A!$D1355</f>
        <v>0</v>
      </c>
      <c r="D200" s="505">
        <f>+[11]BS17A!$U1355</f>
        <v>41890</v>
      </c>
      <c r="E200" s="580">
        <f>+[11]BS17A!$V1355</f>
        <v>0</v>
      </c>
      <c r="F200" s="497"/>
    </row>
    <row r="201" spans="1:6" ht="12.75" customHeight="1" x14ac:dyDescent="0.2">
      <c r="A201" s="691">
        <v>1801006</v>
      </c>
      <c r="B201" s="693" t="s">
        <v>298</v>
      </c>
      <c r="C201" s="614">
        <f>+[11]BS17A!$D1356</f>
        <v>3</v>
      </c>
      <c r="D201" s="505">
        <f>+[11]BS17A!$U1356</f>
        <v>44620</v>
      </c>
      <c r="E201" s="580">
        <f>+[11]BS17A!$V1356</f>
        <v>133860</v>
      </c>
      <c r="F201" s="497"/>
    </row>
    <row r="202" spans="1:6" ht="24.75" customHeight="1" x14ac:dyDescent="0.2">
      <c r="A202" s="691" t="s">
        <v>299</v>
      </c>
      <c r="B202" s="693" t="s">
        <v>300</v>
      </c>
      <c r="C202" s="614">
        <f>[11]BS17A!D1036</f>
        <v>1</v>
      </c>
      <c r="D202" s="505">
        <f>[11]BS17A!U1036</f>
        <v>9390</v>
      </c>
      <c r="E202" s="580">
        <f>[11]BS17A!V1036</f>
        <v>9390</v>
      </c>
      <c r="F202" s="497"/>
    </row>
    <row r="203" spans="1:6" ht="24.75" customHeight="1" x14ac:dyDescent="0.2">
      <c r="A203" s="721" t="s">
        <v>301</v>
      </c>
      <c r="B203" s="723" t="s">
        <v>302</v>
      </c>
      <c r="C203" s="719">
        <f>[11]BS17A!D807</f>
        <v>0</v>
      </c>
      <c r="D203" s="505">
        <f>[11]BS17A!U807</f>
        <v>398560</v>
      </c>
      <c r="E203" s="580">
        <f>[11]BS17A!V807</f>
        <v>0</v>
      </c>
      <c r="F203" s="497"/>
    </row>
    <row r="204" spans="1:6" ht="24.75" customHeight="1" x14ac:dyDescent="0.2">
      <c r="A204" s="721" t="s">
        <v>303</v>
      </c>
      <c r="B204" s="723" t="s">
        <v>304</v>
      </c>
      <c r="C204" s="719">
        <f>[11]BS17A!D808</f>
        <v>0</v>
      </c>
      <c r="D204" s="505">
        <f>[11]BS17A!U808</f>
        <v>8946190</v>
      </c>
      <c r="E204" s="580">
        <f>[11]BS17A!V808</f>
        <v>0</v>
      </c>
      <c r="F204" s="497"/>
    </row>
    <row r="205" spans="1:6" ht="24.75" customHeight="1" x14ac:dyDescent="0.2">
      <c r="A205" s="721" t="s">
        <v>305</v>
      </c>
      <c r="B205" s="723" t="s">
        <v>306</v>
      </c>
      <c r="C205" s="719">
        <f>[11]BS17A!D809</f>
        <v>0</v>
      </c>
      <c r="D205" s="505">
        <f>[11]BS17A!U809</f>
        <v>229650</v>
      </c>
      <c r="E205" s="580">
        <f>[11]BS17A!V809</f>
        <v>0</v>
      </c>
      <c r="F205" s="497"/>
    </row>
    <row r="206" spans="1:6" ht="24.75" customHeight="1" x14ac:dyDescent="0.2">
      <c r="A206" s="722" t="s">
        <v>307</v>
      </c>
      <c r="B206" s="724" t="s">
        <v>308</v>
      </c>
      <c r="C206" s="720">
        <f>[11]BS17A!D810</f>
        <v>0</v>
      </c>
      <c r="D206" s="512">
        <f>[11]BS17A!U810</f>
        <v>1047210</v>
      </c>
      <c r="E206" s="585">
        <f>[11]BS17A!V810</f>
        <v>0</v>
      </c>
      <c r="F206" s="497"/>
    </row>
    <row r="207" spans="1:6" ht="17.25" customHeight="1" x14ac:dyDescent="0.2">
      <c r="A207" s="676"/>
      <c r="B207" s="675" t="s">
        <v>309</v>
      </c>
      <c r="C207" s="514">
        <f>SUM(C173:C206)</f>
        <v>812</v>
      </c>
      <c r="D207" s="583"/>
      <c r="E207" s="584">
        <f>SUM(E173:E206)</f>
        <v>9515410</v>
      </c>
      <c r="F207" s="497"/>
    </row>
    <row r="208" spans="1:6" ht="21.75" customHeight="1" x14ac:dyDescent="0.2">
      <c r="A208" s="497"/>
      <c r="B208" s="497"/>
      <c r="C208" s="497"/>
      <c r="D208" s="497"/>
      <c r="E208" s="497"/>
      <c r="F208" s="497"/>
    </row>
    <row r="209" spans="1:6" ht="19.5" customHeight="1" x14ac:dyDescent="0.2">
      <c r="A209" s="497"/>
      <c r="B209" s="497"/>
      <c r="C209" s="497"/>
      <c r="D209" s="497"/>
      <c r="E209" s="497"/>
      <c r="F209" s="497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494"/>
    </row>
    <row r="211" spans="1:6" ht="39.75" customHeight="1" x14ac:dyDescent="0.2">
      <c r="A211" s="499" t="s">
        <v>8</v>
      </c>
      <c r="B211" s="499" t="s">
        <v>9</v>
      </c>
      <c r="C211" s="733" t="s">
        <v>10</v>
      </c>
      <c r="D211" s="545" t="s">
        <v>11</v>
      </c>
      <c r="E211" s="735" t="s">
        <v>12</v>
      </c>
      <c r="F211" s="494"/>
    </row>
    <row r="212" spans="1:6" ht="12.75" customHeight="1" x14ac:dyDescent="0.2">
      <c r="A212" s="668" t="s">
        <v>311</v>
      </c>
      <c r="B212" s="685" t="s">
        <v>312</v>
      </c>
      <c r="C212" s="617">
        <f>+[11]BS17A!$D18</f>
        <v>0</v>
      </c>
      <c r="D212" s="510">
        <f>+[11]BS17A!$U18</f>
        <v>14530</v>
      </c>
      <c r="E212" s="579">
        <f>+[11]BS17A!$V18</f>
        <v>0</v>
      </c>
      <c r="F212" s="497"/>
    </row>
    <row r="213" spans="1:6" ht="12.75" customHeight="1" x14ac:dyDescent="0.2">
      <c r="A213" s="669" t="s">
        <v>313</v>
      </c>
      <c r="B213" s="665" t="s">
        <v>314</v>
      </c>
      <c r="C213" s="614">
        <f>+[11]BS17A!$D19</f>
        <v>51</v>
      </c>
      <c r="D213" s="505">
        <f>+[11]BS17A!$U19</f>
        <v>14530</v>
      </c>
      <c r="E213" s="580">
        <f>+[11]BS17A!$V19</f>
        <v>741030</v>
      </c>
      <c r="F213" s="497"/>
    </row>
    <row r="214" spans="1:6" ht="12.75" customHeight="1" x14ac:dyDescent="0.2">
      <c r="A214" s="669" t="s">
        <v>315</v>
      </c>
      <c r="B214" s="664" t="s">
        <v>316</v>
      </c>
      <c r="C214" s="614">
        <f>+[11]BS17A!$D47</f>
        <v>0</v>
      </c>
      <c r="D214" s="505">
        <f>+[11]BS17A!$U47</f>
        <v>1390</v>
      </c>
      <c r="E214" s="580">
        <f>+[11]BS17A!$V47</f>
        <v>0</v>
      </c>
      <c r="F214" s="497"/>
    </row>
    <row r="215" spans="1:6" ht="12.75" customHeight="1" x14ac:dyDescent="0.2">
      <c r="A215" s="669" t="s">
        <v>317</v>
      </c>
      <c r="B215" s="664" t="s">
        <v>318</v>
      </c>
      <c r="C215" s="614">
        <f>+[11]BS17A!$D48</f>
        <v>586</v>
      </c>
      <c r="D215" s="505">
        <f>+[11]BS17A!$U48</f>
        <v>680</v>
      </c>
      <c r="E215" s="580">
        <f>+[11]BS17A!$V48</f>
        <v>398480</v>
      </c>
      <c r="F215" s="497"/>
    </row>
    <row r="216" spans="1:6" ht="12.75" customHeight="1" x14ac:dyDescent="0.2">
      <c r="A216" s="669" t="s">
        <v>319</v>
      </c>
      <c r="B216" s="665" t="s">
        <v>320</v>
      </c>
      <c r="C216" s="614">
        <f>+[11]BS17A!$D49</f>
        <v>4707</v>
      </c>
      <c r="D216" s="505">
        <f>+[11]BS17A!$U49</f>
        <v>2060</v>
      </c>
      <c r="E216" s="580">
        <f>+[11]BS17A!$V49</f>
        <v>9696420</v>
      </c>
      <c r="F216" s="497"/>
    </row>
    <row r="217" spans="1:6" ht="12.75" customHeight="1" x14ac:dyDescent="0.2">
      <c r="A217" s="669" t="s">
        <v>321</v>
      </c>
      <c r="B217" s="665" t="s">
        <v>322</v>
      </c>
      <c r="C217" s="614">
        <f>+[11]BS17A!$D50</f>
        <v>69</v>
      </c>
      <c r="D217" s="505">
        <f>+[11]BS17A!$U50</f>
        <v>15480</v>
      </c>
      <c r="E217" s="580">
        <f>+[11]BS17A!$V50</f>
        <v>1068120</v>
      </c>
      <c r="F217" s="497"/>
    </row>
    <row r="218" spans="1:6" ht="12.75" customHeight="1" x14ac:dyDescent="0.2">
      <c r="A218" s="669" t="s">
        <v>323</v>
      </c>
      <c r="B218" s="664" t="s">
        <v>324</v>
      </c>
      <c r="C218" s="614">
        <f>+[11]BS17A!$D51</f>
        <v>122</v>
      </c>
      <c r="D218" s="505">
        <f>+[11]BS17A!$U51</f>
        <v>35550</v>
      </c>
      <c r="E218" s="580">
        <f>+[11]BS17A!$V51</f>
        <v>4337100</v>
      </c>
      <c r="F218" s="497"/>
    </row>
    <row r="219" spans="1:6" ht="12.75" customHeight="1" x14ac:dyDescent="0.2">
      <c r="A219" s="691" t="s">
        <v>325</v>
      </c>
      <c r="B219" s="664" t="s">
        <v>326</v>
      </c>
      <c r="C219" s="614">
        <f>+[11]BS17A!D52</f>
        <v>8</v>
      </c>
      <c r="D219" s="591"/>
      <c r="E219" s="580">
        <f>+[11]BS17A!V52</f>
        <v>70960</v>
      </c>
      <c r="F219" s="497"/>
    </row>
    <row r="220" spans="1:6" ht="12.75" customHeight="1" x14ac:dyDescent="0.2">
      <c r="A220" s="670" t="s">
        <v>327</v>
      </c>
      <c r="B220" s="666" t="s">
        <v>328</v>
      </c>
      <c r="C220" s="629">
        <f>+[11]BS17A!$D1861</f>
        <v>64</v>
      </c>
      <c r="D220" s="512">
        <f>+[11]BS17A!$U1861</f>
        <v>28810</v>
      </c>
      <c r="E220" s="585">
        <f>+[11]BS17A!$V1861</f>
        <v>1843840</v>
      </c>
      <c r="F220" s="497"/>
    </row>
    <row r="221" spans="1:6" ht="12.75" x14ac:dyDescent="0.2">
      <c r="A221" s="676"/>
      <c r="B221" s="675" t="s">
        <v>329</v>
      </c>
      <c r="C221" s="514">
        <f>SUM(C212:C220)</f>
        <v>5607</v>
      </c>
      <c r="D221" s="583"/>
      <c r="E221" s="590">
        <f>SUM(E212:E220)</f>
        <v>18155950</v>
      </c>
      <c r="F221" s="497"/>
    </row>
    <row r="222" spans="1:6" ht="17.25" customHeight="1" x14ac:dyDescent="0.2">
      <c r="A222" s="497"/>
      <c r="B222" s="497"/>
      <c r="C222" s="497"/>
      <c r="D222" s="497"/>
      <c r="E222" s="497"/>
      <c r="F222" s="497"/>
    </row>
    <row r="223" spans="1:6" ht="18" customHeight="1" x14ac:dyDescent="0.2">
      <c r="A223" s="497"/>
      <c r="B223" s="497"/>
      <c r="C223" s="497"/>
      <c r="D223" s="497"/>
      <c r="E223" s="497"/>
      <c r="F223" s="497"/>
    </row>
    <row r="224" spans="1:6" ht="27.75" customHeight="1" x14ac:dyDescent="0.2">
      <c r="A224" s="765" t="s">
        <v>330</v>
      </c>
      <c r="B224" s="766"/>
      <c r="C224" s="767"/>
      <c r="D224" s="497"/>
      <c r="E224" s="497"/>
      <c r="F224" s="494"/>
    </row>
    <row r="225" spans="1:7" ht="42.75" customHeight="1" x14ac:dyDescent="0.2">
      <c r="A225" s="499" t="s">
        <v>8</v>
      </c>
      <c r="B225" s="499" t="s">
        <v>10</v>
      </c>
      <c r="C225" s="499" t="s">
        <v>12</v>
      </c>
      <c r="D225" s="494"/>
      <c r="E225" s="497"/>
      <c r="F225" s="497"/>
    </row>
    <row r="226" spans="1:7" ht="15" customHeight="1" x14ac:dyDescent="0.2">
      <c r="A226" s="668" t="s">
        <v>331</v>
      </c>
      <c r="B226" s="686" t="s">
        <v>332</v>
      </c>
      <c r="C226" s="592"/>
      <c r="D226" s="593"/>
      <c r="E226" s="497"/>
      <c r="F226" s="497"/>
    </row>
    <row r="227" spans="1:7" ht="15" customHeight="1" x14ac:dyDescent="0.2">
      <c r="A227" s="689" t="s">
        <v>333</v>
      </c>
      <c r="B227" s="687" t="s">
        <v>334</v>
      </c>
      <c r="C227" s="594"/>
      <c r="D227" s="593"/>
      <c r="E227" s="497"/>
      <c r="F227" s="497"/>
    </row>
    <row r="228" spans="1:7" ht="18" customHeight="1" x14ac:dyDescent="0.2">
      <c r="A228" s="690"/>
      <c r="B228" s="688" t="s">
        <v>335</v>
      </c>
      <c r="C228" s="650">
        <f>SUM(C226:C227)</f>
        <v>0</v>
      </c>
      <c r="D228" s="593"/>
      <c r="E228" s="497"/>
      <c r="F228" s="497"/>
    </row>
    <row r="229" spans="1:7" ht="18" customHeight="1" x14ac:dyDescent="0.2">
      <c r="A229" s="497"/>
      <c r="B229" s="497"/>
      <c r="C229" s="497"/>
      <c r="D229" s="593"/>
      <c r="E229" s="593"/>
      <c r="F229" s="593"/>
    </row>
    <row r="230" spans="1:7" ht="18" customHeight="1" x14ac:dyDescent="0.2">
      <c r="A230" s="497"/>
      <c r="B230" s="497"/>
      <c r="C230" s="497"/>
      <c r="D230" s="497"/>
      <c r="E230" s="497"/>
      <c r="F230" s="593"/>
      <c r="G230" s="59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593"/>
      <c r="G231" s="595"/>
    </row>
    <row r="232" spans="1:7" ht="56.25" customHeight="1" x14ac:dyDescent="0.2">
      <c r="A232" s="499" t="s">
        <v>8</v>
      </c>
      <c r="B232" s="499" t="s">
        <v>9</v>
      </c>
      <c r="C232" s="733" t="s">
        <v>10</v>
      </c>
      <c r="D232" s="545" t="s">
        <v>11</v>
      </c>
      <c r="E232" s="735" t="s">
        <v>12</v>
      </c>
      <c r="F232" s="593"/>
      <c r="G232" s="595"/>
    </row>
    <row r="233" spans="1:7" ht="15" customHeight="1" x14ac:dyDescent="0.2">
      <c r="A233" s="668" t="s">
        <v>337</v>
      </c>
      <c r="B233" s="685" t="s">
        <v>338</v>
      </c>
      <c r="C233" s="648">
        <f>+[11]BS17A!$D1941</f>
        <v>301</v>
      </c>
      <c r="D233" s="510">
        <f>+[11]BS17A!$U1941</f>
        <v>19890</v>
      </c>
      <c r="E233" s="579">
        <f>+[11]BS17A!$V1941</f>
        <v>5986890</v>
      </c>
      <c r="F233" s="497"/>
    </row>
    <row r="234" spans="1:7" ht="15" customHeight="1" x14ac:dyDescent="0.2">
      <c r="A234" s="670" t="s">
        <v>339</v>
      </c>
      <c r="B234" s="666" t="s">
        <v>340</v>
      </c>
      <c r="C234" s="649">
        <f>+[11]BS17A!$D1942</f>
        <v>0</v>
      </c>
      <c r="D234" s="512">
        <f>+[11]BS17A!$U1942</f>
        <v>249320</v>
      </c>
      <c r="E234" s="585">
        <f>+[11]BS17A!$V1942</f>
        <v>0</v>
      </c>
      <c r="F234" s="497"/>
    </row>
    <row r="235" spans="1:7" ht="18" customHeight="1" x14ac:dyDescent="0.2">
      <c r="A235" s="676"/>
      <c r="B235" s="675" t="s">
        <v>341</v>
      </c>
      <c r="C235" s="514">
        <f>SUM(C233:C234)</f>
        <v>301</v>
      </c>
      <c r="D235" s="583"/>
      <c r="E235" s="584">
        <f>SUM(E233:E234)</f>
        <v>5986890</v>
      </c>
      <c r="F235" s="497"/>
    </row>
    <row r="236" spans="1:7" ht="18" customHeight="1" x14ac:dyDescent="0.2">
      <c r="A236" s="596"/>
      <c r="B236" s="597"/>
      <c r="C236" s="598"/>
      <c r="D236" s="596"/>
      <c r="E236" s="596"/>
      <c r="F236" s="497"/>
    </row>
    <row r="237" spans="1:7" ht="18" customHeight="1" x14ac:dyDescent="0.2">
      <c r="A237" s="596"/>
      <c r="B237" s="597"/>
      <c r="C237" s="598"/>
      <c r="D237" s="596"/>
      <c r="E237" s="596"/>
      <c r="F237" s="497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497"/>
    </row>
    <row r="239" spans="1:7" ht="41.25" customHeight="1" x14ac:dyDescent="0.2">
      <c r="A239" s="499" t="s">
        <v>8</v>
      </c>
      <c r="B239" s="499" t="s">
        <v>9</v>
      </c>
      <c r="C239" s="733" t="s">
        <v>10</v>
      </c>
      <c r="D239" s="545" t="s">
        <v>11</v>
      </c>
      <c r="E239" s="735" t="s">
        <v>12</v>
      </c>
      <c r="F239" s="497"/>
    </row>
    <row r="240" spans="1:7" ht="18" customHeight="1" x14ac:dyDescent="0.2">
      <c r="A240" s="576" t="s">
        <v>343</v>
      </c>
      <c r="B240" s="522" t="s">
        <v>344</v>
      </c>
      <c r="C240" s="599">
        <f>[11]BS17A!D768</f>
        <v>922</v>
      </c>
      <c r="D240" s="600"/>
      <c r="E240" s="601">
        <f>[11]BS17A!V768</f>
        <v>6761900</v>
      </c>
      <c r="F240" s="497"/>
    </row>
    <row r="241" spans="1:6" ht="18" customHeight="1" x14ac:dyDescent="0.2">
      <c r="A241" s="596"/>
      <c r="B241" s="597"/>
      <c r="C241" s="598"/>
      <c r="D241" s="596"/>
      <c r="E241" s="596"/>
      <c r="F241" s="497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497"/>
    </row>
    <row r="243" spans="1:6" ht="43.5" customHeight="1" x14ac:dyDescent="0.2">
      <c r="A243" s="499" t="s">
        <v>8</v>
      </c>
      <c r="B243" s="733" t="s">
        <v>346</v>
      </c>
      <c r="C243" s="544" t="s">
        <v>347</v>
      </c>
      <c r="D243" s="545" t="s">
        <v>11</v>
      </c>
      <c r="E243" s="735" t="s">
        <v>12</v>
      </c>
      <c r="F243" s="497"/>
    </row>
    <row r="244" spans="1:6" ht="15" customHeight="1" x14ac:dyDescent="0.2">
      <c r="A244" s="509" t="s">
        <v>348</v>
      </c>
      <c r="B244" s="631" t="s">
        <v>349</v>
      </c>
      <c r="C244" s="617">
        <f>+[11]BS17A!$D1944</f>
        <v>0</v>
      </c>
      <c r="D244" s="510">
        <f>+[11]BS17A!$U1944</f>
        <v>254650</v>
      </c>
      <c r="E244" s="579">
        <f>+[11]BS17A!$V1944</f>
        <v>0</v>
      </c>
      <c r="F244" s="497"/>
    </row>
    <row r="245" spans="1:6" ht="15" customHeight="1" x14ac:dyDescent="0.2">
      <c r="A245" s="504" t="s">
        <v>350</v>
      </c>
      <c r="B245" s="632" t="s">
        <v>351</v>
      </c>
      <c r="C245" s="614">
        <f>+[11]BS17A!$D1945</f>
        <v>0</v>
      </c>
      <c r="D245" s="505">
        <f>+[11]BS17A!$U1945</f>
        <v>36180</v>
      </c>
      <c r="E245" s="580">
        <f>+[11]BS17A!$V1945</f>
        <v>0</v>
      </c>
      <c r="F245" s="497"/>
    </row>
    <row r="246" spans="1:6" ht="15" customHeight="1" x14ac:dyDescent="0.2">
      <c r="A246" s="504" t="s">
        <v>352</v>
      </c>
      <c r="B246" s="632" t="s">
        <v>353</v>
      </c>
      <c r="C246" s="614">
        <f>+[11]BS17A!$D1946</f>
        <v>0</v>
      </c>
      <c r="D246" s="505">
        <f>+[11]BS17A!$U1946</f>
        <v>136500</v>
      </c>
      <c r="E246" s="580">
        <f>+[11]BS17A!$V1946</f>
        <v>0</v>
      </c>
      <c r="F246" s="497"/>
    </row>
    <row r="247" spans="1:6" ht="15" customHeight="1" x14ac:dyDescent="0.2">
      <c r="A247" s="504" t="s">
        <v>354</v>
      </c>
      <c r="B247" s="632" t="s">
        <v>355</v>
      </c>
      <c r="C247" s="614">
        <f>+[11]BS17A!$D1947</f>
        <v>0</v>
      </c>
      <c r="D247" s="505">
        <f>+[11]BS17A!$U1947</f>
        <v>136500</v>
      </c>
      <c r="E247" s="580">
        <f>+[11]BS17A!$V1947</f>
        <v>0</v>
      </c>
      <c r="F247" s="497"/>
    </row>
    <row r="248" spans="1:6" ht="15" customHeight="1" x14ac:dyDescent="0.2">
      <c r="A248" s="504" t="s">
        <v>356</v>
      </c>
      <c r="B248" s="632" t="s">
        <v>357</v>
      </c>
      <c r="C248" s="614">
        <f>+[11]BS17A!$D1948</f>
        <v>0</v>
      </c>
      <c r="D248" s="505">
        <f>+[11]BS17A!$U1948</f>
        <v>248500</v>
      </c>
      <c r="E248" s="580">
        <f>+[11]BS17A!$V1948</f>
        <v>0</v>
      </c>
      <c r="F248" s="497"/>
    </row>
    <row r="249" spans="1:6" ht="15" customHeight="1" x14ac:dyDescent="0.2">
      <c r="A249" s="504" t="s">
        <v>358</v>
      </c>
      <c r="B249" s="632" t="s">
        <v>359</v>
      </c>
      <c r="C249" s="614">
        <f>+[11]BS17A!$D1949</f>
        <v>0</v>
      </c>
      <c r="D249" s="505">
        <f>+[11]BS17A!$U1949</f>
        <v>381350</v>
      </c>
      <c r="E249" s="580">
        <f>+[11]BS17A!$V1949</f>
        <v>0</v>
      </c>
      <c r="F249" s="497"/>
    </row>
    <row r="250" spans="1:6" ht="15" customHeight="1" x14ac:dyDescent="0.2">
      <c r="A250" s="504" t="s">
        <v>360</v>
      </c>
      <c r="B250" s="632" t="s">
        <v>361</v>
      </c>
      <c r="C250" s="614">
        <f>+[11]BS17A!$D1950</f>
        <v>0</v>
      </c>
      <c r="D250" s="505">
        <f>+[11]BS17A!$U1950</f>
        <v>650560</v>
      </c>
      <c r="E250" s="580">
        <f>+[11]BS17A!$V1950</f>
        <v>0</v>
      </c>
      <c r="F250" s="497"/>
    </row>
    <row r="251" spans="1:6" ht="15" customHeight="1" x14ac:dyDescent="0.2">
      <c r="A251" s="527" t="s">
        <v>362</v>
      </c>
      <c r="B251" s="632" t="s">
        <v>363</v>
      </c>
      <c r="C251" s="614">
        <f>+[11]BS17A!$D1951</f>
        <v>0</v>
      </c>
      <c r="D251" s="505">
        <f>+[11]BS17A!$U1951</f>
        <v>135500</v>
      </c>
      <c r="E251" s="580">
        <f>+[11]BS17A!$V1951</f>
        <v>0</v>
      </c>
      <c r="F251" s="497"/>
    </row>
    <row r="252" spans="1:6" ht="15" customHeight="1" x14ac:dyDescent="0.2">
      <c r="A252" s="527" t="s">
        <v>364</v>
      </c>
      <c r="B252" s="632" t="s">
        <v>365</v>
      </c>
      <c r="C252" s="614">
        <f>+[11]BS17A!$D1952</f>
        <v>0</v>
      </c>
      <c r="D252" s="505">
        <f>+[11]BS17A!$U1952</f>
        <v>365200</v>
      </c>
      <c r="E252" s="580">
        <f>+[11]BS17A!$V1952</f>
        <v>0</v>
      </c>
      <c r="F252" s="497"/>
    </row>
    <row r="253" spans="1:6" ht="15" customHeight="1" x14ac:dyDescent="0.2">
      <c r="A253" s="527" t="s">
        <v>366</v>
      </c>
      <c r="B253" s="632" t="s">
        <v>367</v>
      </c>
      <c r="C253" s="644">
        <f>+[11]BS17A!$D1953</f>
        <v>0</v>
      </c>
      <c r="D253" s="507">
        <f>+[11]BS17A!$U1953</f>
        <v>153770</v>
      </c>
      <c r="E253" s="602">
        <f>+[11]BS17A!$V1953</f>
        <v>0</v>
      </c>
      <c r="F253" s="497"/>
    </row>
    <row r="254" spans="1:6" ht="15" customHeight="1" x14ac:dyDescent="0.2">
      <c r="A254" s="527" t="s">
        <v>368</v>
      </c>
      <c r="B254" s="632" t="s">
        <v>369</v>
      </c>
      <c r="C254" s="644">
        <f>+[11]BS17A!$D1954</f>
        <v>0</v>
      </c>
      <c r="D254" s="507">
        <f>+[11]BS17A!$U1954</f>
        <v>133620</v>
      </c>
      <c r="E254" s="602">
        <f>+[11]BS17A!$V1954</f>
        <v>0</v>
      </c>
      <c r="F254" s="497"/>
    </row>
    <row r="255" spans="1:6" ht="15" customHeight="1" x14ac:dyDescent="0.2">
      <c r="A255" s="527" t="s">
        <v>370</v>
      </c>
      <c r="B255" s="632" t="s">
        <v>371</v>
      </c>
      <c r="C255" s="644">
        <f>+[11]BS17A!$D1955</f>
        <v>0</v>
      </c>
      <c r="D255" s="507">
        <f>+[11]BS17A!$U1955</f>
        <v>203150</v>
      </c>
      <c r="E255" s="602">
        <f>+[11]BS17A!$V1955</f>
        <v>0</v>
      </c>
      <c r="F255" s="497"/>
    </row>
    <row r="256" spans="1:6" ht="15" customHeight="1" x14ac:dyDescent="0.2">
      <c r="A256" s="527" t="s">
        <v>372</v>
      </c>
      <c r="B256" s="632" t="s">
        <v>373</v>
      </c>
      <c r="C256" s="644">
        <f>+[11]BS17A!$D1956</f>
        <v>0</v>
      </c>
      <c r="D256" s="507">
        <f>+[11]BS17A!$U1956</f>
        <v>53460</v>
      </c>
      <c r="E256" s="602">
        <f>+[11]BS17A!$V1956</f>
        <v>0</v>
      </c>
      <c r="F256" s="497"/>
    </row>
    <row r="257" spans="1:6" ht="15" customHeight="1" x14ac:dyDescent="0.2">
      <c r="A257" s="562" t="s">
        <v>374</v>
      </c>
      <c r="B257" s="643" t="s">
        <v>375</v>
      </c>
      <c r="C257" s="629">
        <f>+[11]BS17A!$D1957</f>
        <v>0</v>
      </c>
      <c r="D257" s="512">
        <f>+[11]BS17A!$U1957</f>
        <v>39950</v>
      </c>
      <c r="E257" s="585">
        <f>+[11]BS17A!$V1957</f>
        <v>0</v>
      </c>
      <c r="F257" s="497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497"/>
    </row>
    <row r="259" spans="1:6" ht="15" customHeight="1" x14ac:dyDescent="0.2">
      <c r="A259" s="668" t="s">
        <v>377</v>
      </c>
      <c r="B259" s="682" t="s">
        <v>349</v>
      </c>
      <c r="C259" s="617">
        <f>+[11]BS17A!$D1958</f>
        <v>0</v>
      </c>
      <c r="D259" s="510">
        <f>+[11]BS17A!$U1958</f>
        <v>219080</v>
      </c>
      <c r="E259" s="579">
        <f>+[11]BS17A!$V1958</f>
        <v>0</v>
      </c>
      <c r="F259" s="497"/>
    </row>
    <row r="260" spans="1:6" ht="15" customHeight="1" x14ac:dyDescent="0.2">
      <c r="A260" s="669" t="s">
        <v>378</v>
      </c>
      <c r="B260" s="683" t="s">
        <v>379</v>
      </c>
      <c r="C260" s="614">
        <f>+[11]BS17A!$D1959</f>
        <v>0</v>
      </c>
      <c r="D260" s="505">
        <f>+[11]BS17A!$U1959</f>
        <v>1303250</v>
      </c>
      <c r="E260" s="580">
        <f>+[11]BS17A!$V1959</f>
        <v>0</v>
      </c>
      <c r="F260" s="497"/>
    </row>
    <row r="261" spans="1:6" ht="15" customHeight="1" x14ac:dyDescent="0.2">
      <c r="A261" s="669" t="s">
        <v>380</v>
      </c>
      <c r="B261" s="683" t="s">
        <v>381</v>
      </c>
      <c r="C261" s="614">
        <f>+[11]BS17A!$D1960</f>
        <v>0</v>
      </c>
      <c r="D261" s="505">
        <f>+[11]BS17A!$U1960</f>
        <v>196630</v>
      </c>
      <c r="E261" s="580">
        <f>+[11]BS17A!$V1960</f>
        <v>0</v>
      </c>
      <c r="F261" s="497"/>
    </row>
    <row r="262" spans="1:6" ht="15" customHeight="1" x14ac:dyDescent="0.2">
      <c r="A262" s="669" t="s">
        <v>382</v>
      </c>
      <c r="B262" s="683" t="s">
        <v>383</v>
      </c>
      <c r="C262" s="614">
        <f>+[11]BS17A!$D1961</f>
        <v>0</v>
      </c>
      <c r="D262" s="505">
        <f>+[11]BS17A!$U1961</f>
        <v>173880</v>
      </c>
      <c r="E262" s="580">
        <f>+[11]BS17A!$V1961</f>
        <v>0</v>
      </c>
      <c r="F262" s="497"/>
    </row>
    <row r="263" spans="1:6" ht="15" customHeight="1" x14ac:dyDescent="0.2">
      <c r="A263" s="669" t="s">
        <v>384</v>
      </c>
      <c r="B263" s="683" t="s">
        <v>385</v>
      </c>
      <c r="C263" s="614">
        <f>+[11]BS17A!$D1962</f>
        <v>0</v>
      </c>
      <c r="D263" s="505">
        <f>+[11]BS17A!$U1962</f>
        <v>352980</v>
      </c>
      <c r="E263" s="580">
        <f>+[11]BS17A!$V1962</f>
        <v>0</v>
      </c>
      <c r="F263" s="497"/>
    </row>
    <row r="264" spans="1:6" ht="15" customHeight="1" x14ac:dyDescent="0.2">
      <c r="A264" s="669" t="s">
        <v>386</v>
      </c>
      <c r="B264" s="683" t="s">
        <v>387</v>
      </c>
      <c r="C264" s="614">
        <f>+[11]BS17A!$D1963</f>
        <v>0</v>
      </c>
      <c r="D264" s="505">
        <f>+[11]BS17A!$U1963</f>
        <v>1173780</v>
      </c>
      <c r="E264" s="580">
        <f>+[11]BS17A!$V1963</f>
        <v>0</v>
      </c>
      <c r="F264" s="497"/>
    </row>
    <row r="265" spans="1:6" ht="15" customHeight="1" x14ac:dyDescent="0.2">
      <c r="A265" s="669" t="s">
        <v>388</v>
      </c>
      <c r="B265" s="683" t="s">
        <v>389</v>
      </c>
      <c r="C265" s="614">
        <f>+[11]BS17A!$D1964</f>
        <v>0</v>
      </c>
      <c r="D265" s="505">
        <f>+[11]BS17A!$U1964</f>
        <v>1206250</v>
      </c>
      <c r="E265" s="580">
        <f>+[11]BS17A!$V1964</f>
        <v>0</v>
      </c>
      <c r="F265" s="497"/>
    </row>
    <row r="266" spans="1:6" ht="15" customHeight="1" x14ac:dyDescent="0.2">
      <c r="A266" s="669" t="s">
        <v>390</v>
      </c>
      <c r="B266" s="683" t="s">
        <v>391</v>
      </c>
      <c r="C266" s="614">
        <f>+[11]BS17A!$D1965</f>
        <v>0</v>
      </c>
      <c r="D266" s="505">
        <f>+[11]BS17A!$U1965</f>
        <v>955090</v>
      </c>
      <c r="E266" s="580">
        <f>+[11]BS17A!$V1965</f>
        <v>0</v>
      </c>
      <c r="F266" s="497"/>
    </row>
    <row r="267" spans="1:6" ht="15" customHeight="1" x14ac:dyDescent="0.2">
      <c r="A267" s="669" t="s">
        <v>392</v>
      </c>
      <c r="B267" s="683" t="s">
        <v>393</v>
      </c>
      <c r="C267" s="614">
        <f>+[11]BS17A!$D1966</f>
        <v>0</v>
      </c>
      <c r="D267" s="505">
        <f>+[11]BS17A!$U1966</f>
        <v>1006570</v>
      </c>
      <c r="E267" s="580">
        <f>+[11]BS17A!$V1966</f>
        <v>0</v>
      </c>
      <c r="F267" s="497"/>
    </row>
    <row r="268" spans="1:6" ht="15" customHeight="1" x14ac:dyDescent="0.2">
      <c r="A268" s="669" t="s">
        <v>394</v>
      </c>
      <c r="B268" s="683" t="s">
        <v>395</v>
      </c>
      <c r="C268" s="614">
        <f>+[11]BS17A!$D1967</f>
        <v>0</v>
      </c>
      <c r="D268" s="505">
        <f>+[11]BS17A!$U1967</f>
        <v>397090</v>
      </c>
      <c r="E268" s="580">
        <f>+[11]BS17A!$V1967</f>
        <v>0</v>
      </c>
      <c r="F268" s="497"/>
    </row>
    <row r="269" spans="1:6" ht="15" customHeight="1" x14ac:dyDescent="0.2">
      <c r="A269" s="669" t="s">
        <v>396</v>
      </c>
      <c r="B269" s="683" t="s">
        <v>397</v>
      </c>
      <c r="C269" s="614">
        <f>+[11]BS17A!$D1968</f>
        <v>0</v>
      </c>
      <c r="D269" s="505">
        <f>+[11]BS17A!$U1968</f>
        <v>95100</v>
      </c>
      <c r="E269" s="580">
        <f>+[11]BS17A!$V1968</f>
        <v>0</v>
      </c>
      <c r="F269" s="497"/>
    </row>
    <row r="270" spans="1:6" ht="15" customHeight="1" x14ac:dyDescent="0.2">
      <c r="A270" s="669" t="s">
        <v>398</v>
      </c>
      <c r="B270" s="683" t="s">
        <v>399</v>
      </c>
      <c r="C270" s="614">
        <f>+[11]BS17A!$D1969</f>
        <v>0</v>
      </c>
      <c r="D270" s="505">
        <f>+[11]BS17A!$U1969</f>
        <v>283710</v>
      </c>
      <c r="E270" s="580">
        <f>+[11]BS17A!$V1969</f>
        <v>0</v>
      </c>
      <c r="F270" s="497"/>
    </row>
    <row r="271" spans="1:6" ht="15" customHeight="1" x14ac:dyDescent="0.2">
      <c r="A271" s="669" t="s">
        <v>400</v>
      </c>
      <c r="B271" s="665" t="s">
        <v>401</v>
      </c>
      <c r="C271" s="614">
        <f>+[11]BS17A!$D1970</f>
        <v>0</v>
      </c>
      <c r="D271" s="505">
        <f>+[11]BS17A!$U1970</f>
        <v>80220</v>
      </c>
      <c r="E271" s="580">
        <f>+[11]BS17A!$V1970</f>
        <v>0</v>
      </c>
      <c r="F271" s="497"/>
    </row>
    <row r="272" spans="1:6" ht="15" customHeight="1" x14ac:dyDescent="0.2">
      <c r="A272" s="669" t="s">
        <v>402</v>
      </c>
      <c r="B272" s="665" t="s">
        <v>403</v>
      </c>
      <c r="C272" s="614">
        <f>+[11]BS17A!$D1971</f>
        <v>0</v>
      </c>
      <c r="D272" s="505">
        <f>+[11]BS17A!$U1971</f>
        <v>1378400</v>
      </c>
      <c r="E272" s="580">
        <f>+[11]BS17A!$V1971</f>
        <v>0</v>
      </c>
      <c r="F272" s="497"/>
    </row>
    <row r="273" spans="1:10" ht="15" customHeight="1" x14ac:dyDescent="0.2">
      <c r="A273" s="669" t="s">
        <v>404</v>
      </c>
      <c r="B273" s="665" t="s">
        <v>405</v>
      </c>
      <c r="C273" s="614">
        <f>+[11]BS17A!$D1972</f>
        <v>0</v>
      </c>
      <c r="D273" s="505">
        <f>+[11]BS17A!$U1972</f>
        <v>322300</v>
      </c>
      <c r="E273" s="580">
        <f>+[11]BS17A!$V1972</f>
        <v>0</v>
      </c>
      <c r="F273" s="497"/>
    </row>
    <row r="274" spans="1:10" ht="15" customHeight="1" x14ac:dyDescent="0.2">
      <c r="A274" s="669" t="s">
        <v>406</v>
      </c>
      <c r="B274" s="665" t="s">
        <v>407</v>
      </c>
      <c r="C274" s="614">
        <f>+[11]BS17A!$D1973</f>
        <v>0</v>
      </c>
      <c r="D274" s="505">
        <f>+[11]BS17A!$U1973</f>
        <v>1079720</v>
      </c>
      <c r="E274" s="580">
        <f>+[11]BS17A!$V1973</f>
        <v>0</v>
      </c>
      <c r="F274" s="497"/>
    </row>
    <row r="275" spans="1:10" ht="15" customHeight="1" x14ac:dyDescent="0.2">
      <c r="A275" s="669" t="s">
        <v>408</v>
      </c>
      <c r="B275" s="684" t="s">
        <v>409</v>
      </c>
      <c r="C275" s="614">
        <f>+[11]BS17A!$D1974</f>
        <v>0</v>
      </c>
      <c r="D275" s="505">
        <f>+[11]BS17A!$U1974</f>
        <v>661000</v>
      </c>
      <c r="E275" s="580">
        <f>+[11]BS17A!$V1974</f>
        <v>0</v>
      </c>
      <c r="F275" s="497"/>
    </row>
    <row r="276" spans="1:10" ht="15" customHeight="1" x14ac:dyDescent="0.2">
      <c r="A276" s="670" t="s">
        <v>410</v>
      </c>
      <c r="B276" s="684" t="s">
        <v>411</v>
      </c>
      <c r="C276" s="629">
        <f>+[11]BS17A!$D1975</f>
        <v>0</v>
      </c>
      <c r="D276" s="507">
        <f>+[11]BS17A!$U1975</f>
        <v>539420</v>
      </c>
      <c r="E276" s="602">
        <f>+[11]BS17A!$V1975</f>
        <v>0</v>
      </c>
      <c r="F276" s="497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497"/>
    </row>
    <row r="278" spans="1:10" ht="15" customHeight="1" x14ac:dyDescent="0.2">
      <c r="A278" s="668" t="s">
        <v>413</v>
      </c>
      <c r="B278" s="677" t="s">
        <v>414</v>
      </c>
      <c r="C278" s="646">
        <f>+[11]BS17A!$D1976</f>
        <v>0</v>
      </c>
      <c r="D278" s="502">
        <f>[11]BS17A!U1976</f>
        <v>290780</v>
      </c>
      <c r="E278" s="603">
        <f>+[11]BS17A!$V1976</f>
        <v>0</v>
      </c>
      <c r="F278" s="497"/>
    </row>
    <row r="279" spans="1:10" ht="15" customHeight="1" x14ac:dyDescent="0.2">
      <c r="A279" s="669" t="s">
        <v>415</v>
      </c>
      <c r="B279" s="665" t="s">
        <v>416</v>
      </c>
      <c r="C279" s="614">
        <f>+[11]BS17A!$D1977</f>
        <v>0</v>
      </c>
      <c r="D279" s="505">
        <f>[11]BS17A!U1977</f>
        <v>169530</v>
      </c>
      <c r="E279" s="580">
        <f>+[11]BS17A!$V1977</f>
        <v>0</v>
      </c>
      <c r="F279" s="497"/>
    </row>
    <row r="280" spans="1:10" ht="15" customHeight="1" x14ac:dyDescent="0.2">
      <c r="A280" s="669" t="s">
        <v>417</v>
      </c>
      <c r="B280" s="665" t="s">
        <v>418</v>
      </c>
      <c r="C280" s="614">
        <f>+[11]BS17A!$D1978</f>
        <v>0</v>
      </c>
      <c r="D280" s="505">
        <f>[11]BS17A!U1978</f>
        <v>409630</v>
      </c>
      <c r="E280" s="580">
        <f>+[11]BS17A!$V1978</f>
        <v>0</v>
      </c>
      <c r="F280" s="497"/>
    </row>
    <row r="281" spans="1:10" ht="15" customHeight="1" x14ac:dyDescent="0.2">
      <c r="A281" s="669" t="s">
        <v>419</v>
      </c>
      <c r="B281" s="665" t="s">
        <v>420</v>
      </c>
      <c r="C281" s="614">
        <f>+[11]BS17A!$D1979</f>
        <v>0</v>
      </c>
      <c r="D281" s="505">
        <f>[11]BS17A!U1979</f>
        <v>424500</v>
      </c>
      <c r="E281" s="580">
        <f>+[11]BS17A!$V1979</f>
        <v>0</v>
      </c>
      <c r="F281" s="497"/>
    </row>
    <row r="282" spans="1:10" ht="15" customHeight="1" x14ac:dyDescent="0.2">
      <c r="A282" s="670" t="s">
        <v>421</v>
      </c>
      <c r="B282" s="678" t="s">
        <v>422</v>
      </c>
      <c r="C282" s="629">
        <f>+[11]BS17A!$D1980</f>
        <v>0</v>
      </c>
      <c r="D282" s="512">
        <f>[11]BS17A!U1980</f>
        <v>265260</v>
      </c>
      <c r="E282" s="585">
        <f>+[11]BS17A!$V1980</f>
        <v>0</v>
      </c>
      <c r="F282" s="604"/>
    </row>
    <row r="283" spans="1:10" ht="15" customHeight="1" x14ac:dyDescent="0.2">
      <c r="A283" s="681" t="s">
        <v>423</v>
      </c>
      <c r="B283" s="679" t="s">
        <v>424</v>
      </c>
      <c r="C283" s="647">
        <f>+[11]BS17A!$D1981</f>
        <v>86</v>
      </c>
      <c r="D283" s="605">
        <f>[11]BS17A!U1981</f>
        <v>36070</v>
      </c>
      <c r="E283" s="601">
        <f>+[11]BS17A!$V1981</f>
        <v>3102020</v>
      </c>
      <c r="F283" s="604"/>
    </row>
    <row r="284" spans="1:10" ht="15" customHeight="1" x14ac:dyDescent="0.2">
      <c r="A284" s="676"/>
      <c r="B284" s="680" t="s">
        <v>425</v>
      </c>
      <c r="C284" s="514">
        <f>SUM(C244:C283)</f>
        <v>86</v>
      </c>
      <c r="D284" s="583"/>
      <c r="E284" s="584">
        <f>SUM(E244:E283)</f>
        <v>3102020</v>
      </c>
      <c r="F284" s="604"/>
    </row>
    <row r="285" spans="1:10" ht="18" customHeight="1" x14ac:dyDescent="0.2">
      <c r="A285" s="596"/>
      <c r="B285" s="497"/>
      <c r="C285" s="497"/>
      <c r="D285" s="596"/>
      <c r="E285" s="596"/>
      <c r="F285" s="497"/>
    </row>
    <row r="286" spans="1:10" ht="18" customHeight="1" x14ac:dyDescent="0.2">
      <c r="A286" s="596"/>
      <c r="B286" s="598"/>
      <c r="C286" s="598"/>
      <c r="D286" s="596"/>
      <c r="E286" s="596"/>
      <c r="F286" s="606"/>
      <c r="G286" s="607"/>
      <c r="J286" s="608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497"/>
    </row>
    <row r="288" spans="1:10" ht="44.25" customHeight="1" x14ac:dyDescent="0.2">
      <c r="A288" s="499" t="s">
        <v>8</v>
      </c>
      <c r="B288" s="499" t="s">
        <v>426</v>
      </c>
      <c r="C288" s="733" t="s">
        <v>347</v>
      </c>
      <c r="D288" s="545" t="s">
        <v>11</v>
      </c>
      <c r="E288" s="735" t="s">
        <v>12</v>
      </c>
      <c r="F288" s="604"/>
    </row>
    <row r="289" spans="1:7" ht="15" customHeight="1" x14ac:dyDescent="0.2">
      <c r="A289" s="668" t="s">
        <v>427</v>
      </c>
      <c r="B289" s="672" t="s">
        <v>428</v>
      </c>
      <c r="C289" s="617">
        <f>+[11]BS17A!$D1983</f>
        <v>4</v>
      </c>
      <c r="D289" s="510">
        <f>+[11]BS17A!$U1983</f>
        <v>7100</v>
      </c>
      <c r="E289" s="579">
        <f>+[11]BS17A!$V1983</f>
        <v>28400</v>
      </c>
      <c r="F289" s="497"/>
    </row>
    <row r="290" spans="1:7" ht="15" customHeight="1" x14ac:dyDescent="0.2">
      <c r="A290" s="669" t="s">
        <v>429</v>
      </c>
      <c r="B290" s="673" t="s">
        <v>430</v>
      </c>
      <c r="C290" s="614">
        <f>+[11]BS17A!$D1984</f>
        <v>0</v>
      </c>
      <c r="D290" s="505">
        <f>+[11]BS17A!$U1984</f>
        <v>3780</v>
      </c>
      <c r="E290" s="580">
        <f>+[11]BS17A!$V1984</f>
        <v>0</v>
      </c>
      <c r="F290" s="497"/>
    </row>
    <row r="291" spans="1:7" ht="15" customHeight="1" x14ac:dyDescent="0.2">
      <c r="A291" s="669" t="s">
        <v>431</v>
      </c>
      <c r="B291" s="673" t="s">
        <v>432</v>
      </c>
      <c r="C291" s="614">
        <f>+[11]BS17A!$D1985</f>
        <v>1</v>
      </c>
      <c r="D291" s="505">
        <f>+[11]BS17A!$U1985</f>
        <v>14240</v>
      </c>
      <c r="E291" s="580">
        <f>+[11]BS17A!$V1985</f>
        <v>14240</v>
      </c>
      <c r="F291" s="497"/>
    </row>
    <row r="292" spans="1:7" ht="15" customHeight="1" x14ac:dyDescent="0.2">
      <c r="A292" s="669" t="s">
        <v>433</v>
      </c>
      <c r="B292" s="673" t="s">
        <v>434</v>
      </c>
      <c r="C292" s="614">
        <f>+[11]BS17A!$D1986</f>
        <v>0</v>
      </c>
      <c r="D292" s="505">
        <f>+[11]BS17A!$U1986</f>
        <v>146040</v>
      </c>
      <c r="E292" s="580">
        <f>+[11]BS17A!$V1986</f>
        <v>0</v>
      </c>
      <c r="F292" s="497"/>
    </row>
    <row r="293" spans="1:7" ht="15" customHeight="1" x14ac:dyDescent="0.2">
      <c r="A293" s="670" t="s">
        <v>435</v>
      </c>
      <c r="B293" s="674" t="s">
        <v>436</v>
      </c>
      <c r="C293" s="629">
        <f>+[11]BS17A!$D1987</f>
        <v>0</v>
      </c>
      <c r="D293" s="512">
        <f>+[11]BS17A!$U1987</f>
        <v>802130</v>
      </c>
      <c r="E293" s="585">
        <f>+[11]BS17A!$V1987</f>
        <v>0</v>
      </c>
      <c r="F293" s="497"/>
    </row>
    <row r="294" spans="1:7" ht="15" customHeight="1" x14ac:dyDescent="0.2">
      <c r="A294" s="676"/>
      <c r="B294" s="675" t="s">
        <v>437</v>
      </c>
      <c r="C294" s="551">
        <f>SUM(C289:C293)</f>
        <v>5</v>
      </c>
      <c r="D294" s="523"/>
      <c r="E294" s="552">
        <f>SUM(E289:E293)</f>
        <v>42640</v>
      </c>
      <c r="F294" s="497"/>
    </row>
    <row r="295" spans="1:7" ht="18" customHeight="1" x14ac:dyDescent="0.2">
      <c r="A295" s="596"/>
      <c r="B295" s="598"/>
      <c r="C295" s="596"/>
      <c r="D295" s="596"/>
      <c r="E295" s="596"/>
      <c r="F295" s="497"/>
    </row>
    <row r="296" spans="1:7" ht="18" customHeight="1" x14ac:dyDescent="0.2">
      <c r="A296" s="596"/>
      <c r="B296" s="598"/>
      <c r="C296" s="596"/>
      <c r="D296" s="596"/>
      <c r="E296" s="596"/>
      <c r="F296" s="609"/>
      <c r="G296" s="498"/>
    </row>
    <row r="297" spans="1:7" ht="12.75" x14ac:dyDescent="0.2">
      <c r="A297" s="756" t="s">
        <v>438</v>
      </c>
      <c r="B297" s="757"/>
      <c r="C297" s="757"/>
      <c r="D297" s="757"/>
      <c r="E297" s="758"/>
      <c r="F297" s="610"/>
      <c r="G297" s="498"/>
    </row>
    <row r="298" spans="1:7" ht="42.75" customHeight="1" x14ac:dyDescent="0.2">
      <c r="A298" s="499" t="s">
        <v>8</v>
      </c>
      <c r="B298" s="641" t="s">
        <v>438</v>
      </c>
      <c r="C298" s="642" t="s">
        <v>439</v>
      </c>
      <c r="D298" s="545" t="s">
        <v>11</v>
      </c>
      <c r="E298" s="735" t="s">
        <v>12</v>
      </c>
      <c r="F298" s="610"/>
      <c r="G298" s="498"/>
    </row>
    <row r="299" spans="1:7" ht="15" customHeight="1" x14ac:dyDescent="0.2">
      <c r="A299" s="668" t="s">
        <v>440</v>
      </c>
      <c r="B299" s="663" t="s">
        <v>441</v>
      </c>
      <c r="C299" s="617">
        <f>+[11]BS17A!$D1863</f>
        <v>175</v>
      </c>
      <c r="D299" s="510">
        <f>+[11]BS17A!$U1863</f>
        <v>18980</v>
      </c>
      <c r="E299" s="579">
        <f>+[11]BS17A!$V1863</f>
        <v>3321500</v>
      </c>
      <c r="F299" s="497"/>
    </row>
    <row r="300" spans="1:7" ht="15" customHeight="1" x14ac:dyDescent="0.2">
      <c r="A300" s="669" t="s">
        <v>442</v>
      </c>
      <c r="B300" s="664" t="s">
        <v>443</v>
      </c>
      <c r="C300" s="614">
        <f>+[11]BS17A!$D1864</f>
        <v>167</v>
      </c>
      <c r="D300" s="505">
        <f>+[11]BS17A!$U1864</f>
        <v>59710</v>
      </c>
      <c r="E300" s="580">
        <f>+[11]BS17A!$V1864</f>
        <v>9971570</v>
      </c>
      <c r="F300" s="497"/>
    </row>
    <row r="301" spans="1:7" ht="15" customHeight="1" x14ac:dyDescent="0.2">
      <c r="A301" s="669" t="s">
        <v>444</v>
      </c>
      <c r="B301" s="664" t="s">
        <v>445</v>
      </c>
      <c r="C301" s="614">
        <f>+[11]BS17A!$D1865</f>
        <v>0</v>
      </c>
      <c r="D301" s="505">
        <f>+[11]BS17A!$U1865</f>
        <v>74020</v>
      </c>
      <c r="E301" s="580">
        <f>+[11]BS17A!$V1865</f>
        <v>0</v>
      </c>
      <c r="F301" s="497"/>
    </row>
    <row r="302" spans="1:7" ht="15" customHeight="1" x14ac:dyDescent="0.2">
      <c r="A302" s="669" t="s">
        <v>446</v>
      </c>
      <c r="B302" s="664" t="s">
        <v>447</v>
      </c>
      <c r="C302" s="614">
        <f>+[11]BS17A!$D1866</f>
        <v>163</v>
      </c>
      <c r="D302" s="505">
        <f>+[11]BS17A!$U1866</f>
        <v>2600</v>
      </c>
      <c r="E302" s="580">
        <f>+[11]BS17A!$V1866</f>
        <v>423800</v>
      </c>
      <c r="F302" s="497"/>
    </row>
    <row r="303" spans="1:7" ht="15" customHeight="1" x14ac:dyDescent="0.2">
      <c r="A303" s="669" t="s">
        <v>448</v>
      </c>
      <c r="B303" s="664" t="s">
        <v>449</v>
      </c>
      <c r="C303" s="614">
        <f>+[11]BS17A!$D1867</f>
        <v>0</v>
      </c>
      <c r="D303" s="505">
        <f>+[11]BS17A!$U1867</f>
        <v>70</v>
      </c>
      <c r="E303" s="580">
        <f>+[11]BS17A!$V1867</f>
        <v>0</v>
      </c>
      <c r="F303" s="497"/>
    </row>
    <row r="304" spans="1:7" ht="15" customHeight="1" x14ac:dyDescent="0.2">
      <c r="A304" s="669" t="s">
        <v>450</v>
      </c>
      <c r="B304" s="665" t="s">
        <v>451</v>
      </c>
      <c r="C304" s="614">
        <f>+[11]BS17A!$D1868</f>
        <v>0</v>
      </c>
      <c r="D304" s="505">
        <f>+[11]BS17A!$U1868</f>
        <v>157140</v>
      </c>
      <c r="E304" s="580">
        <f>+[11]BS17A!$V1868</f>
        <v>0</v>
      </c>
      <c r="F304" s="497"/>
    </row>
    <row r="305" spans="1:7" ht="15" customHeight="1" x14ac:dyDescent="0.2">
      <c r="A305" s="670" t="s">
        <v>452</v>
      </c>
      <c r="B305" s="666" t="s">
        <v>453</v>
      </c>
      <c r="C305" s="629">
        <f>+[11]BS17A!$D1869</f>
        <v>0</v>
      </c>
      <c r="D305" s="512">
        <f>+[11]BS17A!$U1869</f>
        <v>10680</v>
      </c>
      <c r="E305" s="585">
        <f>+[11]BS17A!$V1869</f>
        <v>0</v>
      </c>
      <c r="F305" s="497"/>
    </row>
    <row r="306" spans="1:7" ht="15" customHeight="1" x14ac:dyDescent="0.2">
      <c r="A306" s="671"/>
      <c r="B306" s="771" t="s">
        <v>454</v>
      </c>
      <c r="C306" s="772"/>
      <c r="D306" s="600"/>
      <c r="E306" s="611">
        <f>SUM(E299:E305)</f>
        <v>13716870</v>
      </c>
      <c r="F306" s="497"/>
    </row>
    <row r="307" spans="1:7" ht="12.75" x14ac:dyDescent="0.2">
      <c r="A307" s="497"/>
      <c r="B307" s="497"/>
      <c r="C307" s="497"/>
      <c r="D307" s="497"/>
      <c r="E307" s="497"/>
      <c r="F307" s="593"/>
      <c r="G307" s="595"/>
    </row>
    <row r="308" spans="1:7" ht="12.75" x14ac:dyDescent="0.2">
      <c r="A308" s="497"/>
      <c r="B308" s="497"/>
      <c r="C308" s="497"/>
      <c r="D308" s="497"/>
      <c r="E308" s="497"/>
      <c r="F308" s="593"/>
      <c r="G308" s="595"/>
    </row>
    <row r="309" spans="1:7" ht="12.75" x14ac:dyDescent="0.2">
      <c r="A309" s="745" t="s">
        <v>455</v>
      </c>
      <c r="B309" s="746"/>
      <c r="C309" s="746"/>
      <c r="D309" s="746"/>
      <c r="E309" s="747"/>
      <c r="F309" s="593"/>
      <c r="G309" s="595"/>
    </row>
    <row r="310" spans="1:7" ht="12.75" x14ac:dyDescent="0.2">
      <c r="A310" s="542"/>
      <c r="B310" s="768" t="s">
        <v>456</v>
      </c>
      <c r="C310" s="769"/>
      <c r="D310" s="770"/>
      <c r="E310" s="612">
        <f>+E235+E240+E284+E294+E306</f>
        <v>29610320</v>
      </c>
      <c r="F310" s="497"/>
    </row>
    <row r="311" spans="1:7" ht="12.75" x14ac:dyDescent="0.2">
      <c r="A311" s="497"/>
      <c r="B311" s="497"/>
      <c r="C311" s="497"/>
      <c r="D311" s="497"/>
      <c r="E311" s="497"/>
      <c r="F311" s="593"/>
      <c r="G311" s="595"/>
    </row>
    <row r="312" spans="1:7" ht="12.75" x14ac:dyDescent="0.2">
      <c r="A312" s="497"/>
      <c r="B312" s="497"/>
      <c r="C312" s="497"/>
      <c r="D312" s="497"/>
      <c r="E312" s="497"/>
      <c r="F312" s="593"/>
      <c r="G312" s="595"/>
    </row>
    <row r="313" spans="1:7" ht="12.75" x14ac:dyDescent="0.2">
      <c r="A313" s="745" t="s">
        <v>457</v>
      </c>
      <c r="B313" s="746"/>
      <c r="C313" s="746"/>
      <c r="D313" s="746"/>
      <c r="E313" s="747"/>
      <c r="F313" s="593"/>
      <c r="G313" s="595"/>
    </row>
    <row r="314" spans="1:7" ht="25.5" x14ac:dyDescent="0.2">
      <c r="A314" s="756" t="s">
        <v>458</v>
      </c>
      <c r="B314" s="757"/>
      <c r="C314" s="757"/>
      <c r="D314" s="758"/>
      <c r="E314" s="499" t="s">
        <v>12</v>
      </c>
      <c r="F314" s="593"/>
      <c r="G314" s="595"/>
    </row>
    <row r="315" spans="1:7" ht="15" customHeight="1" x14ac:dyDescent="0.2">
      <c r="A315" s="542"/>
      <c r="B315" s="768" t="s">
        <v>459</v>
      </c>
      <c r="C315" s="769"/>
      <c r="D315" s="770"/>
      <c r="E315" s="612">
        <f>+E50+E76+E84+F109+E116+C121+E148+E155+E168+E207+E221+C228+E310</f>
        <v>703325067.5</v>
      </c>
      <c r="F315" s="593"/>
      <c r="G315" s="595"/>
    </row>
    <row r="316" spans="1:7" ht="18" customHeight="1" x14ac:dyDescent="0.2">
      <c r="A316" s="497"/>
      <c r="B316" s="497"/>
      <c r="C316" s="497"/>
      <c r="D316" s="497"/>
      <c r="E316" s="497"/>
      <c r="F316" s="494"/>
    </row>
    <row r="317" spans="1:7" ht="18" customHeight="1" x14ac:dyDescent="0.2">
      <c r="A317" s="497"/>
      <c r="B317" s="497"/>
      <c r="C317" s="497"/>
      <c r="D317" s="497"/>
      <c r="E317" s="497"/>
      <c r="F317" s="494"/>
    </row>
    <row r="318" spans="1:7" ht="18" customHeight="1" x14ac:dyDescent="0.2">
      <c r="A318" s="745" t="s">
        <v>460</v>
      </c>
      <c r="B318" s="746"/>
      <c r="C318" s="747"/>
      <c r="D318" s="497"/>
      <c r="E318" s="497"/>
      <c r="F318" s="494"/>
    </row>
    <row r="319" spans="1:7" ht="18" customHeight="1" x14ac:dyDescent="0.2">
      <c r="A319" s="756" t="s">
        <v>461</v>
      </c>
      <c r="B319" s="757"/>
      <c r="C319" s="758"/>
      <c r="D319" s="497"/>
      <c r="E319" s="497"/>
      <c r="F319" s="494"/>
    </row>
    <row r="320" spans="1:7" ht="30.75" customHeight="1" x14ac:dyDescent="0.2">
      <c r="A320" s="745" t="s">
        <v>462</v>
      </c>
      <c r="B320" s="746"/>
      <c r="C320" s="499" t="s">
        <v>463</v>
      </c>
      <c r="D320" s="497"/>
      <c r="E320" s="497"/>
      <c r="F320" s="497"/>
    </row>
    <row r="321" spans="1:6" ht="15" customHeight="1" x14ac:dyDescent="0.2">
      <c r="A321" s="613" t="s">
        <v>464</v>
      </c>
      <c r="B321" s="631"/>
      <c r="C321" s="637"/>
      <c r="D321" s="497"/>
      <c r="E321" s="497"/>
      <c r="F321" s="497"/>
    </row>
    <row r="322" spans="1:6" ht="15" customHeight="1" x14ac:dyDescent="0.2">
      <c r="A322" s="614" t="s">
        <v>465</v>
      </c>
      <c r="B322" s="632"/>
      <c r="C322" s="638"/>
      <c r="D322" s="497"/>
      <c r="E322" s="497"/>
      <c r="F322" s="497"/>
    </row>
    <row r="323" spans="1:6" ht="15" customHeight="1" x14ac:dyDescent="0.2">
      <c r="A323" s="614" t="s">
        <v>466</v>
      </c>
      <c r="B323" s="632"/>
      <c r="C323" s="638"/>
      <c r="D323" s="497"/>
      <c r="E323" s="497"/>
      <c r="F323" s="497"/>
    </row>
    <row r="324" spans="1:6" ht="15" customHeight="1" x14ac:dyDescent="0.2">
      <c r="A324" s="615" t="s">
        <v>467</v>
      </c>
      <c r="B324" s="632"/>
      <c r="C324" s="638"/>
      <c r="D324" s="497"/>
      <c r="E324" s="497"/>
      <c r="F324" s="497"/>
    </row>
    <row r="325" spans="1:6" ht="15" customHeight="1" x14ac:dyDescent="0.2">
      <c r="A325" s="616" t="s">
        <v>468</v>
      </c>
      <c r="B325" s="633"/>
      <c r="C325" s="639">
        <f>SUM(C321:C324)</f>
        <v>0</v>
      </c>
      <c r="D325" s="497"/>
      <c r="E325" s="497"/>
      <c r="F325" s="497"/>
    </row>
    <row r="326" spans="1:6" ht="15" customHeight="1" x14ac:dyDescent="0.2">
      <c r="A326" s="617" t="s">
        <v>469</v>
      </c>
      <c r="B326" s="634"/>
      <c r="C326" s="637">
        <v>17858943</v>
      </c>
      <c r="D326" s="497"/>
      <c r="E326" s="497"/>
      <c r="F326" s="497"/>
    </row>
    <row r="327" spans="1:6" ht="15" customHeight="1" x14ac:dyDescent="0.2">
      <c r="A327" s="618" t="s">
        <v>470</v>
      </c>
      <c r="B327" s="635"/>
      <c r="C327" s="638"/>
      <c r="D327" s="497"/>
      <c r="E327" s="497"/>
      <c r="F327" s="497"/>
    </row>
    <row r="328" spans="1:6" ht="15" customHeight="1" x14ac:dyDescent="0.2">
      <c r="A328" s="614" t="s">
        <v>471</v>
      </c>
      <c r="B328" s="635"/>
      <c r="C328" s="638"/>
      <c r="D328" s="497"/>
      <c r="E328" s="497"/>
      <c r="F328" s="497"/>
    </row>
    <row r="329" spans="1:6" ht="15" customHeight="1" x14ac:dyDescent="0.2">
      <c r="A329" s="614" t="s">
        <v>472</v>
      </c>
      <c r="B329" s="635"/>
      <c r="C329" s="638"/>
      <c r="D329" s="497"/>
      <c r="E329" s="497"/>
      <c r="F329" s="497"/>
    </row>
    <row r="330" spans="1:6" ht="15" customHeight="1" x14ac:dyDescent="0.2">
      <c r="A330" s="618" t="s">
        <v>473</v>
      </c>
      <c r="B330" s="635"/>
      <c r="C330" s="638"/>
      <c r="D330" s="497"/>
      <c r="E330" s="497"/>
      <c r="F330" s="497"/>
    </row>
    <row r="331" spans="1:6" ht="15" customHeight="1" x14ac:dyDescent="0.2">
      <c r="A331" s="618" t="s">
        <v>474</v>
      </c>
      <c r="B331" s="635"/>
      <c r="C331" s="638"/>
      <c r="D331" s="497"/>
      <c r="E331" s="497"/>
      <c r="F331" s="497"/>
    </row>
    <row r="332" spans="1:6" ht="15" customHeight="1" x14ac:dyDescent="0.2">
      <c r="A332" s="619" t="s">
        <v>475</v>
      </c>
      <c r="B332" s="636"/>
      <c r="C332" s="640">
        <v>94425052</v>
      </c>
      <c r="D332" s="497"/>
      <c r="E332" s="497"/>
      <c r="F332" s="497"/>
    </row>
    <row r="333" spans="1:6" ht="15" customHeight="1" x14ac:dyDescent="0.2">
      <c r="A333" s="514"/>
      <c r="B333" s="630" t="s">
        <v>476</v>
      </c>
      <c r="C333" s="589">
        <f>SUM(C325:C332)</f>
        <v>112283995</v>
      </c>
      <c r="D333" s="497"/>
      <c r="E333" s="497"/>
      <c r="F333" s="497"/>
    </row>
    <row r="334" spans="1:6" ht="12.75" x14ac:dyDescent="0.2">
      <c r="A334" s="497"/>
      <c r="B334" s="497"/>
      <c r="C334" s="497"/>
      <c r="D334" s="497"/>
      <c r="E334" s="497"/>
      <c r="F334" s="494"/>
    </row>
    <row r="335" spans="1:6" ht="12.75" x14ac:dyDescent="0.2">
      <c r="A335" s="497"/>
      <c r="B335" s="497"/>
      <c r="C335" s="497"/>
      <c r="D335" s="497"/>
      <c r="E335" s="497"/>
      <c r="F335" s="494"/>
    </row>
    <row r="336" spans="1:6" ht="12.75" x14ac:dyDescent="0.2">
      <c r="A336" s="497"/>
      <c r="B336" s="497"/>
      <c r="C336" s="497"/>
      <c r="D336" s="497"/>
      <c r="E336" s="497"/>
      <c r="F336" s="494"/>
    </row>
    <row r="337" spans="1:6" ht="12.75" x14ac:dyDescent="0.2">
      <c r="A337" s="596"/>
      <c r="B337" s="596"/>
      <c r="C337" s="596"/>
      <c r="D337" s="596"/>
      <c r="E337" s="596"/>
      <c r="F337" s="609"/>
    </row>
    <row r="338" spans="1:6" ht="12.75" x14ac:dyDescent="0.2">
      <c r="A338" s="596"/>
      <c r="B338" s="596"/>
      <c r="C338" s="596"/>
      <c r="D338" s="596"/>
      <c r="E338" s="774" t="str">
        <f>[11]NOMBRE!B12</f>
        <v>Sra. María Inés Núñez González</v>
      </c>
      <c r="F338" s="774"/>
    </row>
    <row r="339" spans="1:6" ht="12.75" x14ac:dyDescent="0.2">
      <c r="A339" s="596"/>
      <c r="B339" s="596"/>
      <c r="C339" s="596"/>
      <c r="D339" s="598"/>
      <c r="E339" s="773" t="str">
        <f>[11]NOMBRE!A12</f>
        <v>Jefe de Estadisticas</v>
      </c>
      <c r="F339" s="773"/>
    </row>
    <row r="340" spans="1:6" ht="12.75" x14ac:dyDescent="0.2">
      <c r="A340" s="596"/>
      <c r="B340" s="596"/>
      <c r="C340" s="596"/>
      <c r="D340" s="596"/>
      <c r="E340" s="738"/>
      <c r="F340" s="621"/>
    </row>
    <row r="341" spans="1:6" ht="12.75" x14ac:dyDescent="0.2">
      <c r="A341" s="596"/>
      <c r="B341" s="596"/>
      <c r="C341" s="596"/>
      <c r="D341" s="596"/>
      <c r="E341" s="621"/>
      <c r="F341" s="621"/>
    </row>
    <row r="342" spans="1:6" ht="12.75" x14ac:dyDescent="0.2">
      <c r="A342" s="596"/>
      <c r="B342" s="596"/>
      <c r="C342" s="596"/>
      <c r="D342" s="596"/>
      <c r="E342" s="621"/>
      <c r="F342" s="621"/>
    </row>
    <row r="343" spans="1:6" ht="12.75" x14ac:dyDescent="0.2">
      <c r="A343" s="596"/>
      <c r="B343" s="596"/>
      <c r="C343" s="596"/>
      <c r="D343" s="596"/>
      <c r="E343" s="621"/>
      <c r="F343" s="621"/>
    </row>
    <row r="344" spans="1:6" ht="12.75" x14ac:dyDescent="0.2">
      <c r="A344" s="596"/>
      <c r="B344" s="596"/>
      <c r="C344" s="596"/>
      <c r="D344" s="596"/>
      <c r="E344" s="621"/>
      <c r="F344" s="621"/>
    </row>
    <row r="345" spans="1:6" ht="12.75" x14ac:dyDescent="0.2">
      <c r="A345" s="596"/>
      <c r="B345" s="596"/>
      <c r="C345" s="596"/>
      <c r="D345" s="596"/>
      <c r="E345" s="621"/>
      <c r="F345" s="621"/>
    </row>
    <row r="346" spans="1:6" ht="12.75" x14ac:dyDescent="0.2">
      <c r="A346" s="596"/>
      <c r="B346" s="596"/>
      <c r="C346" s="596"/>
      <c r="D346" s="596"/>
      <c r="E346" s="621"/>
      <c r="F346" s="621"/>
    </row>
    <row r="347" spans="1:6" ht="12.75" x14ac:dyDescent="0.2">
      <c r="A347" s="596"/>
      <c r="B347" s="596"/>
      <c r="C347" s="596"/>
      <c r="D347" s="596"/>
      <c r="E347" s="774" t="str">
        <f>[11]NOMBRE!B11</f>
        <v>Dr. Francisco Martínez Cavalla</v>
      </c>
      <c r="F347" s="774"/>
    </row>
    <row r="348" spans="1:6" ht="22.5" customHeight="1" x14ac:dyDescent="0.2">
      <c r="A348" s="596"/>
      <c r="B348" s="596"/>
      <c r="C348" s="596"/>
      <c r="D348" s="609"/>
      <c r="E348" s="773" t="str">
        <f>CONCATENATE("Director ",[11]NOMBRE!B1)</f>
        <v xml:space="preserve">Director </v>
      </c>
      <c r="F348" s="773"/>
    </row>
    <row r="349" spans="1:6" ht="12.75" x14ac:dyDescent="0.2">
      <c r="A349" s="596"/>
      <c r="B349" s="596"/>
      <c r="C349" s="596"/>
      <c r="D349" s="622"/>
      <c r="E349" s="596"/>
      <c r="F349" s="609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topLeftCell="A196" workbookViewId="0">
      <selection activeCell="B343" sqref="B343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42" t="s">
        <v>1</v>
      </c>
      <c r="D1" s="743"/>
      <c r="E1" s="744"/>
      <c r="F1" s="3"/>
    </row>
    <row r="2" spans="1:7" ht="12.75" x14ac:dyDescent="0.2">
      <c r="A2" s="1" t="str">
        <f>CONCATENATE("COMUNA: ",[2]NOMBRE!B2," - ","( ",[2]NOMBRE!C2,[2]NOMBRE!D2,[2]NOMBRE!E2,[2]NOMBRE!F2,[2]NOMBRE!G2," )")</f>
        <v>COMUNA: LINARES  - ( 07401 )</v>
      </c>
      <c r="B2" s="2"/>
      <c r="C2" s="739"/>
      <c r="D2" s="740"/>
      <c r="E2" s="741"/>
      <c r="F2" s="5"/>
      <c r="G2" s="6"/>
    </row>
    <row r="3" spans="1:7" ht="12.75" x14ac:dyDescent="0.2">
      <c r="A3" s="1" t="str">
        <f>CONCATENATE("ESTABLECIMIENTO/ESTRATEGIA: ",[2]NOMBRE!B3," - ","( ",[2]NOMBRE!C3,[2]NOMBRE!D3,[2]NOMBRE!E3,[2]NOMBRE!F3,[2]NOMBRE!G3,[2]NOMBRE!H3," )")</f>
        <v>ESTABLECIMIENTO/ESTRATEGIA: HOSPITAL DE LINARES  - ( 116108 )</v>
      </c>
      <c r="B3" s="2"/>
      <c r="C3" s="742" t="s">
        <v>2</v>
      </c>
      <c r="D3" s="743"/>
      <c r="E3" s="744"/>
      <c r="F3" s="5"/>
      <c r="G3" s="7"/>
    </row>
    <row r="4" spans="1:7" ht="12.75" x14ac:dyDescent="0.2">
      <c r="A4" s="1" t="str">
        <f>CONCATENATE("MES: ",[2]NOMBRE!B6," - ","( ",[2]NOMBRE!C6,[2]NOMBRE!D6," )")</f>
        <v>MES: ENERO - ( 01 )</v>
      </c>
      <c r="B4" s="2"/>
      <c r="C4" s="739" t="str">
        <f>CONCATENATE([2]NOMBRE!B6," ","( ",[2]NOMBRE!C6,[2]NOMBRE!D6," )")</f>
        <v>ENERO ( 01 )</v>
      </c>
      <c r="D4" s="740"/>
      <c r="E4" s="741"/>
      <c r="F4" s="5"/>
      <c r="G4" s="7"/>
    </row>
    <row r="5" spans="1:7" ht="12.75" x14ac:dyDescent="0.2">
      <c r="A5" s="1" t="str">
        <f>CONCATENATE("AÑO: ",[2]NOMBRE!B7)</f>
        <v>AÑO: 2015</v>
      </c>
      <c r="B5" s="2"/>
      <c r="C5" s="742" t="s">
        <v>3</v>
      </c>
      <c r="D5" s="743"/>
      <c r="E5" s="744"/>
      <c r="F5" s="5"/>
      <c r="G5" s="7"/>
    </row>
    <row r="6" spans="1:7" ht="12.75" x14ac:dyDescent="0.2">
      <c r="A6" s="8"/>
      <c r="B6" s="8"/>
      <c r="C6" s="739">
        <f>[2]NOMBRE!B7</f>
        <v>2015</v>
      </c>
      <c r="D6" s="740"/>
      <c r="E6" s="741"/>
      <c r="F6" s="5"/>
      <c r="G6" s="7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5"/>
      <c r="G7" s="7"/>
    </row>
    <row r="8" spans="1:7" ht="15" x14ac:dyDescent="0.2">
      <c r="A8" s="8"/>
      <c r="B8" s="9" t="s">
        <v>6</v>
      </c>
      <c r="C8" s="739" t="str">
        <f>CONCATENATE([2]NOMBRE!B3," ","( ",[2]NOMBRE!C3,[2]NOMBRE!D3,[2]NOMBRE!E3,[2]NOMBRE!F3,[2]NOMBRE!G3," )")</f>
        <v>HOSPITAL DE LINARES  ( 11610 )</v>
      </c>
      <c r="D8" s="740"/>
      <c r="E8" s="741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53" t="s">
        <v>7</v>
      </c>
      <c r="B11" s="754"/>
      <c r="C11" s="754"/>
      <c r="D11" s="754"/>
      <c r="E11" s="755"/>
      <c r="F11" s="5"/>
    </row>
    <row r="12" spans="1:7" ht="43.5" customHeight="1" x14ac:dyDescent="0.2">
      <c r="A12" s="11" t="s">
        <v>8</v>
      </c>
      <c r="B12" s="11" t="s">
        <v>9</v>
      </c>
      <c r="C12" s="15" t="s">
        <v>10</v>
      </c>
      <c r="D12" s="13" t="s">
        <v>11</v>
      </c>
      <c r="E12" s="16" t="s">
        <v>12</v>
      </c>
      <c r="F12" s="8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8"/>
    </row>
    <row r="14" spans="1:7" ht="15" customHeight="1" x14ac:dyDescent="0.2">
      <c r="A14" s="17" t="s">
        <v>14</v>
      </c>
      <c r="B14" s="18" t="s">
        <v>15</v>
      </c>
      <c r="C14" s="19">
        <f>[2]BS17A!$D13</f>
        <v>0</v>
      </c>
      <c r="D14" s="20">
        <f>[2]BS17A!$U13</f>
        <v>4170</v>
      </c>
      <c r="E14" s="21">
        <f>[2]BS17A!$V13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[2]BS17A!$D14</f>
        <v>0</v>
      </c>
      <c r="D15" s="24">
        <f>[2]BS17A!$U14</f>
        <v>5240</v>
      </c>
      <c r="E15" s="25">
        <f>[2]BS17A!$V14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[2]BS17A!$D15</f>
        <v>6208</v>
      </c>
      <c r="D16" s="24">
        <f>[2]BS17A!$U15</f>
        <v>11250</v>
      </c>
      <c r="E16" s="25">
        <f>[2]BS17A!$V15</f>
        <v>69840000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[2]BS17A!$D16</f>
        <v>0</v>
      </c>
      <c r="D17" s="24">
        <f>[2]BS17A!$U16</f>
        <v>6720</v>
      </c>
      <c r="E17" s="25">
        <f>[2]BS17A!$V16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[2]BS17A!$D17</f>
        <v>0</v>
      </c>
      <c r="D18" s="24">
        <f>[2]BS17A!$U17</f>
        <v>7370</v>
      </c>
      <c r="E18" s="25">
        <f>[2]BS17A!$V17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[2]BS17A!$D20</f>
        <v>0</v>
      </c>
      <c r="D19" s="24">
        <f>[2]BS17A!$U20</f>
        <v>5690</v>
      </c>
      <c r="E19" s="25">
        <f>[2]BS17A!$V20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[2]BS17A!$D21</f>
        <v>0</v>
      </c>
      <c r="D20" s="24">
        <f>[2]BS17A!$U21</f>
        <v>6820</v>
      </c>
      <c r="E20" s="25">
        <f>[2]BS17A!$V21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[2]BS17A!$D22</f>
        <v>0</v>
      </c>
      <c r="D21" s="24">
        <f>[2]BS17A!$U22</f>
        <v>8460</v>
      </c>
      <c r="E21" s="25">
        <f>[2]BS17A!$V22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[2]BS17A!$D23</f>
        <v>1985</v>
      </c>
      <c r="D22" s="24">
        <f>[2]BS17A!$U23</f>
        <v>5690</v>
      </c>
      <c r="E22" s="25">
        <f>[2]BS17A!$V23</f>
        <v>11294650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[2]BS17A!$D24</f>
        <v>1129</v>
      </c>
      <c r="D23" s="24">
        <f>[2]BS17A!$U24</f>
        <v>6820</v>
      </c>
      <c r="E23" s="25">
        <f>[2]BS17A!$V24</f>
        <v>7699780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[2]BS17A!$D25</f>
        <v>2068</v>
      </c>
      <c r="D24" s="24">
        <f>[2]BS17A!$U25</f>
        <v>8460</v>
      </c>
      <c r="E24" s="25">
        <f>[2]BS17A!$V25</f>
        <v>17495280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+[2]BS17A!$D795</f>
        <v>211</v>
      </c>
      <c r="D25" s="24">
        <f>+[2]BS17A!$U795</f>
        <v>6900</v>
      </c>
      <c r="E25" s="25">
        <f>+[2]BS17A!$V795</f>
        <v>1455900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+[2]BS17A!$D800</f>
        <v>0</v>
      </c>
      <c r="D26" s="31">
        <f>+[2]BS17A!$U800</f>
        <v>28580</v>
      </c>
      <c r="E26" s="32">
        <f>+[2]BS17A!$V800</f>
        <v>0</v>
      </c>
      <c r="F26" s="8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8"/>
    </row>
    <row r="28" spans="1:6" ht="15" customHeight="1" x14ac:dyDescent="0.2">
      <c r="A28" s="17" t="s">
        <v>41</v>
      </c>
      <c r="B28" s="18" t="s">
        <v>42</v>
      </c>
      <c r="C28" s="33">
        <f>[2]BS17A!$D27</f>
        <v>1530</v>
      </c>
      <c r="D28" s="20">
        <f>[2]BS17A!$U27</f>
        <v>1110</v>
      </c>
      <c r="E28" s="21">
        <f>[2]BS17A!$V27</f>
        <v>1698300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[2]BS17A!$D28</f>
        <v>0</v>
      </c>
      <c r="D29" s="24">
        <f>[2]BS17A!$U28</f>
        <v>1900</v>
      </c>
      <c r="E29" s="25">
        <f>[2]BS17A!$V28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[2]BS17A!$D29</f>
        <v>0</v>
      </c>
      <c r="D30" s="24">
        <f>[2]BS17A!$U29</f>
        <v>610</v>
      </c>
      <c r="E30" s="25">
        <f>[2]BS17A!$V29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[2]BS17A!$D30</f>
        <v>88</v>
      </c>
      <c r="D31" s="24">
        <f>[2]BS17A!$U30</f>
        <v>1500</v>
      </c>
      <c r="E31" s="25">
        <f>[2]BS17A!$V30</f>
        <v>132000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[2]BS17A!$D31</f>
        <v>1070</v>
      </c>
      <c r="D32" s="24">
        <f>[2]BS17A!$U31</f>
        <v>1210</v>
      </c>
      <c r="E32" s="25">
        <f>[2]BS17A!$V31</f>
        <v>1294700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[2]BS17A!$D32</f>
        <v>0</v>
      </c>
      <c r="D33" s="24">
        <f>[2]BS17A!$U32</f>
        <v>1110</v>
      </c>
      <c r="E33" s="25">
        <f>[2]BS17A!$V32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+[2]BS17A!$D796</f>
        <v>322</v>
      </c>
      <c r="D34" s="24">
        <f>+[2]BS17A!$U796</f>
        <v>2700</v>
      </c>
      <c r="E34" s="25">
        <f>+[2]BS17A!$V796</f>
        <v>869400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+[2]BS17A!$D797</f>
        <v>524</v>
      </c>
      <c r="D35" s="24">
        <f>+[2]BS17A!$U797</f>
        <v>2700</v>
      </c>
      <c r="E35" s="25">
        <f>+[2]BS17A!$V797</f>
        <v>1414800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+[2]BS17A!$D798</f>
        <v>0</v>
      </c>
      <c r="D36" s="24">
        <f>+[2]BS17A!$U798</f>
        <v>10760</v>
      </c>
      <c r="E36" s="25">
        <f>+[2]BS17A!$V798</f>
        <v>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+[2]BS17A!$D799</f>
        <v>25</v>
      </c>
      <c r="D37" s="31">
        <f>+[2]BS17A!$U799</f>
        <v>12600</v>
      </c>
      <c r="E37" s="32">
        <f>+[2]BS17A!$V799</f>
        <v>315000</v>
      </c>
      <c r="F37" s="8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8"/>
    </row>
    <row r="39" spans="1:6" ht="15" customHeight="1" x14ac:dyDescent="0.2">
      <c r="A39" s="17" t="s">
        <v>62</v>
      </c>
      <c r="B39" s="36" t="s">
        <v>63</v>
      </c>
      <c r="C39" s="33">
        <f>+[2]BS17A!$D801</f>
        <v>0</v>
      </c>
      <c r="D39" s="37">
        <f>+[2]BS17A!$U801</f>
        <v>3550</v>
      </c>
      <c r="E39" s="38">
        <f>+[2]BS17A!$V801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+[2]BS17A!$D802</f>
        <v>0</v>
      </c>
      <c r="D40" s="40">
        <f>+[2]BS17A!$U802</f>
        <v>9180</v>
      </c>
      <c r="E40" s="41">
        <f>+[2]BS17A!$V802</f>
        <v>0</v>
      </c>
      <c r="F40" s="8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8"/>
    </row>
    <row r="42" spans="1:6" ht="15" customHeight="1" x14ac:dyDescent="0.2">
      <c r="A42" s="17" t="s">
        <v>67</v>
      </c>
      <c r="B42" s="42" t="s">
        <v>68</v>
      </c>
      <c r="C42" s="33">
        <f>+[2]BS17A!$D34</f>
        <v>78</v>
      </c>
      <c r="D42" s="37">
        <f>+[2]BS17A!$U34</f>
        <v>3640</v>
      </c>
      <c r="E42" s="38">
        <f>+[2]BS17A!$V34</f>
        <v>283920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+[2]BS17A!$D35</f>
        <v>695</v>
      </c>
      <c r="D43" s="24">
        <f>+[2]BS17A!$U35</f>
        <v>2000</v>
      </c>
      <c r="E43" s="25">
        <f>+[2]BS17A!$V35</f>
        <v>1390000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+[2]BS17A!$D36</f>
        <v>0</v>
      </c>
      <c r="D44" s="24">
        <f>+[2]BS17A!$U36</f>
        <v>2000</v>
      </c>
      <c r="E44" s="25">
        <f>+[2]BS17A!$V36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+[2]BS17A!$D37</f>
        <v>694</v>
      </c>
      <c r="D45" s="40">
        <f>+[2]BS17A!$U37</f>
        <v>610</v>
      </c>
      <c r="E45" s="41">
        <f>+[2]BS17A!$V37</f>
        <v>423340</v>
      </c>
      <c r="F45" s="8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8"/>
    </row>
    <row r="47" spans="1:6" ht="15" customHeight="1" x14ac:dyDescent="0.2">
      <c r="A47" s="17" t="s">
        <v>76</v>
      </c>
      <c r="B47" s="42" t="s">
        <v>77</v>
      </c>
      <c r="C47" s="33">
        <f>+[2]BS17A!$D39</f>
        <v>30</v>
      </c>
      <c r="D47" s="37">
        <f>+[2]BS17A!$U39</f>
        <v>1730</v>
      </c>
      <c r="E47" s="38">
        <f>+[2]BS17A!$V39</f>
        <v>51900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+[2]BS17A!$D40</f>
        <v>19</v>
      </c>
      <c r="D48" s="24">
        <f>+[2]BS17A!$U40</f>
        <v>1730</v>
      </c>
      <c r="E48" s="25">
        <f>+[2]BS17A!$V40</f>
        <v>32870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+[2]BS17A!$D41</f>
        <v>0</v>
      </c>
      <c r="D49" s="40">
        <f>+[2]BS17A!$U41</f>
        <v>1000</v>
      </c>
      <c r="E49" s="41">
        <f>+[2]BS17A!$V41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16676</v>
      </c>
      <c r="D50" s="46"/>
      <c r="E50" s="47">
        <f>SUM(E14:E49)</f>
        <v>115691840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9" t="s">
        <v>83</v>
      </c>
      <c r="B53" s="760"/>
      <c r="C53" s="760"/>
      <c r="D53" s="760"/>
      <c r="E53" s="761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15" t="s">
        <v>10</v>
      </c>
      <c r="D54" s="53"/>
      <c r="E54" s="16" t="s">
        <v>12</v>
      </c>
      <c r="F54" s="8"/>
    </row>
    <row r="55" spans="1:7" ht="18" customHeight="1" x14ac:dyDescent="0.2">
      <c r="A55" s="141" t="s">
        <v>85</v>
      </c>
      <c r="B55" s="55" t="s">
        <v>86</v>
      </c>
      <c r="C55" s="56">
        <f>+[2]BS17!$D12</f>
        <v>59928</v>
      </c>
      <c r="D55" s="57"/>
      <c r="E55" s="58">
        <f>+E56+E57+E58+E59+E60+E61+E65+E66+E67</f>
        <v>82665560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+[2]BS17!$D13</f>
        <v>24913</v>
      </c>
      <c r="D56" s="61"/>
      <c r="E56" s="62">
        <f>+[2]BS17A!V83</f>
        <v>25916940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+[2]BS17!$D14</f>
        <v>24182</v>
      </c>
      <c r="D57" s="63"/>
      <c r="E57" s="64">
        <f>+[2]BS17A!V174</f>
        <v>29043080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+[2]BS17!$D15</f>
        <v>916</v>
      </c>
      <c r="D58" s="63"/>
      <c r="E58" s="64">
        <f>+[2]BS17A!V243</f>
        <v>3210840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+[2]BS17!$D16</f>
        <v>0</v>
      </c>
      <c r="D59" s="63"/>
      <c r="E59" s="64">
        <f>+[2]BS17A!V289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+[2]BS17!$D17</f>
        <v>1436</v>
      </c>
      <c r="D60" s="67"/>
      <c r="E60" s="68">
        <f>+[2]BS17A!V295</f>
        <v>6826560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+[2]BS17!$D18</f>
        <v>5295</v>
      </c>
      <c r="D61" s="71"/>
      <c r="E61" s="72">
        <f>SUM(E62:E64)</f>
        <v>13518290</v>
      </c>
      <c r="F61" s="8"/>
    </row>
    <row r="62" spans="1:7" ht="15" customHeight="1" x14ac:dyDescent="0.2">
      <c r="A62" s="73"/>
      <c r="B62" s="42" t="s">
        <v>99</v>
      </c>
      <c r="C62" s="33">
        <f>+[2]BS17!$D19</f>
        <v>4501</v>
      </c>
      <c r="D62" s="74"/>
      <c r="E62" s="75">
        <f>+[2]BS17A!V362</f>
        <v>10339180</v>
      </c>
      <c r="F62" s="8"/>
    </row>
    <row r="63" spans="1:7" ht="15" customHeight="1" x14ac:dyDescent="0.2">
      <c r="A63" s="73"/>
      <c r="B63" s="27" t="s">
        <v>100</v>
      </c>
      <c r="C63" s="19">
        <f>+[2]BS17!$D20</f>
        <v>33</v>
      </c>
      <c r="D63" s="63"/>
      <c r="E63" s="64">
        <f>+[2]BS17A!V405</f>
        <v>89550</v>
      </c>
      <c r="F63" s="8"/>
    </row>
    <row r="64" spans="1:7" ht="15" customHeight="1" x14ac:dyDescent="0.2">
      <c r="A64" s="76"/>
      <c r="B64" s="43" t="s">
        <v>101</v>
      </c>
      <c r="C64" s="30">
        <f>+[2]BS17!$D21</f>
        <v>761</v>
      </c>
      <c r="D64" s="77"/>
      <c r="E64" s="78">
        <f>+[2]BS17A!V428</f>
        <v>3089560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+[2]BS17!$D22</f>
        <v>22</v>
      </c>
      <c r="D65" s="61"/>
      <c r="E65" s="62">
        <f>+[2]BS17A!V446</f>
        <v>225500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+[2]BS17!$D23</f>
        <v>68</v>
      </c>
      <c r="D66" s="63"/>
      <c r="E66" s="64">
        <f>+[2]BS17A!V456</f>
        <v>98160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+[2]BS17!$D24</f>
        <v>3096</v>
      </c>
      <c r="D67" s="67"/>
      <c r="E67" s="68">
        <f>+[2]BS17A!V500</f>
        <v>3826190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+[2]BS17!$D25</f>
        <v>4217</v>
      </c>
      <c r="D68" s="83"/>
      <c r="E68" s="84">
        <f>SUM(E69:E74)</f>
        <v>69215360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+[2]BS17!$D26</f>
        <v>2587</v>
      </c>
      <c r="D69" s="63"/>
      <c r="E69" s="64">
        <f>+[2]BS17A!V535</f>
        <v>20421140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+[2]BS17!$D27</f>
        <v>0</v>
      </c>
      <c r="D70" s="63"/>
      <c r="E70" s="64">
        <f>+[2]BS17A!V590</f>
        <v>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+[2]BS17!$D28</f>
        <v>767</v>
      </c>
      <c r="D71" s="63"/>
      <c r="E71" s="64">
        <f>+[2]BS17A!V615</f>
        <v>37851590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+[2]BS17!$D30+[2]BS17!$D32</f>
        <v>663</v>
      </c>
      <c r="D72" s="63"/>
      <c r="E72" s="64">
        <f>+[2]BS17A!V633-[2]BS17A!V634</f>
        <v>9924630</v>
      </c>
      <c r="F72" s="8"/>
    </row>
    <row r="73" spans="1:7" ht="15" customHeight="1" x14ac:dyDescent="0.2">
      <c r="A73" s="85"/>
      <c r="B73" s="27" t="s">
        <v>118</v>
      </c>
      <c r="C73" s="19">
        <f>+[2]BS17!$D31</f>
        <v>200</v>
      </c>
      <c r="D73" s="63"/>
      <c r="E73" s="64">
        <f>+[2]BS17A!V634</f>
        <v>1018000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+[2]BS17!$D33</f>
        <v>0</v>
      </c>
      <c r="D74" s="89"/>
      <c r="E74" s="90">
        <f>+[2]BS17A!V654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+[2]BS17!$D34</f>
        <v>0</v>
      </c>
      <c r="D75" s="94"/>
      <c r="E75" s="95">
        <f>+[2]BS17A!V783</f>
        <v>0</v>
      </c>
      <c r="F75" s="8"/>
    </row>
    <row r="76" spans="1:7" ht="15" customHeight="1" x14ac:dyDescent="0.2">
      <c r="A76" s="96"/>
      <c r="B76" s="219" t="s">
        <v>123</v>
      </c>
      <c r="C76" s="56">
        <f>+C55+C68+C75</f>
        <v>64145</v>
      </c>
      <c r="D76" s="57"/>
      <c r="E76" s="98">
        <f>+E55+E68+E75</f>
        <v>151880920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53" t="s">
        <v>124</v>
      </c>
      <c r="B79" s="754"/>
      <c r="C79" s="754"/>
      <c r="D79" s="754"/>
      <c r="E79" s="755"/>
      <c r="F79" s="51"/>
      <c r="G79" s="52"/>
    </row>
    <row r="80" spans="1:7" ht="45" customHeight="1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+[2]BS17!D49</f>
        <v>0</v>
      </c>
      <c r="D81" s="61"/>
      <c r="E81" s="103">
        <f>+SUM([2]BS17A!V673+[2]BS17A!V719)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+[2]BS17!E130</f>
        <v>1463</v>
      </c>
      <c r="D82" s="63"/>
      <c r="E82" s="105">
        <f>+[2]BS17A!V1574</f>
        <v>11590610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+[2]BS17A!D1849</f>
        <v>32</v>
      </c>
      <c r="D83" s="67"/>
      <c r="E83" s="106">
        <f>+[2]BS17A!V1849</f>
        <v>2148560</v>
      </c>
      <c r="F83" s="8"/>
    </row>
    <row r="84" spans="1:6" ht="17.25" customHeight="1" x14ac:dyDescent="0.2">
      <c r="A84" s="96"/>
      <c r="B84" s="219" t="s">
        <v>130</v>
      </c>
      <c r="C84" s="56">
        <f>+SUM(C81:C83)</f>
        <v>1495</v>
      </c>
      <c r="D84" s="57"/>
      <c r="E84" s="107">
        <f>SUM(E81:E83)</f>
        <v>13739170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99" t="s">
        <v>132</v>
      </c>
      <c r="D89" s="108" t="s">
        <v>133</v>
      </c>
      <c r="E89" s="13" t="s">
        <v>134</v>
      </c>
      <c r="F89" s="16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+[2]BS17!F68</f>
        <v>1</v>
      </c>
      <c r="D90" s="110">
        <f>+[2]BS17!G68</f>
        <v>0</v>
      </c>
      <c r="E90" s="111">
        <f>+[2]BS17!H68</f>
        <v>0</v>
      </c>
      <c r="F90" s="112">
        <f>[2]BS17A!V811</f>
        <v>149420</v>
      </c>
    </row>
    <row r="91" spans="1:6" ht="15" customHeight="1" x14ac:dyDescent="0.2">
      <c r="A91" s="22" t="s">
        <v>137</v>
      </c>
      <c r="B91" s="27" t="s">
        <v>138</v>
      </c>
      <c r="C91" s="113">
        <f>+[2]BS17!F69</f>
        <v>194</v>
      </c>
      <c r="D91" s="114">
        <f>+[2]BS17!G69</f>
        <v>2</v>
      </c>
      <c r="E91" s="115">
        <f>+[2]BS17!H69</f>
        <v>0</v>
      </c>
      <c r="F91" s="116">
        <f>[2]BS17A!V882</f>
        <v>66268325</v>
      </c>
    </row>
    <row r="92" spans="1:6" ht="15" customHeight="1" x14ac:dyDescent="0.2">
      <c r="A92" s="22" t="s">
        <v>139</v>
      </c>
      <c r="B92" s="27" t="s">
        <v>140</v>
      </c>
      <c r="C92" s="113">
        <f>+[2]BS17!F70</f>
        <v>26</v>
      </c>
      <c r="D92" s="114">
        <f>+[2]BS17!G70</f>
        <v>5</v>
      </c>
      <c r="E92" s="115">
        <f>+[2]BS17!H70</f>
        <v>0</v>
      </c>
      <c r="F92" s="116">
        <f>[2]BS17A!V961</f>
        <v>2521365</v>
      </c>
    </row>
    <row r="93" spans="1:6" ht="15" customHeight="1" x14ac:dyDescent="0.2">
      <c r="A93" s="22" t="s">
        <v>141</v>
      </c>
      <c r="B93" s="27" t="s">
        <v>142</v>
      </c>
      <c r="C93" s="113">
        <f>+[2]BS17!F71</f>
        <v>7</v>
      </c>
      <c r="D93" s="114">
        <f>+[2]BS17!G71</f>
        <v>1</v>
      </c>
      <c r="E93" s="115">
        <f>+[2]BS17!H71</f>
        <v>0</v>
      </c>
      <c r="F93" s="116">
        <f>[2]BS17A!V1037</f>
        <v>639845</v>
      </c>
    </row>
    <row r="94" spans="1:6" ht="15" customHeight="1" x14ac:dyDescent="0.2">
      <c r="A94" s="22" t="s">
        <v>143</v>
      </c>
      <c r="B94" s="27" t="s">
        <v>144</v>
      </c>
      <c r="C94" s="113">
        <f>+[2]BS17!F72</f>
        <v>66</v>
      </c>
      <c r="D94" s="114">
        <f>+[2]BS17!G72</f>
        <v>1</v>
      </c>
      <c r="E94" s="115">
        <f>+[2]BS17!H72</f>
        <v>0</v>
      </c>
      <c r="F94" s="116">
        <f>[2]BS17A!V1098</f>
        <v>2879320</v>
      </c>
    </row>
    <row r="95" spans="1:6" ht="15" customHeight="1" x14ac:dyDescent="0.2">
      <c r="A95" s="22" t="s">
        <v>145</v>
      </c>
      <c r="B95" s="27" t="s">
        <v>146</v>
      </c>
      <c r="C95" s="113">
        <f>+[2]BS17!F73</f>
        <v>125</v>
      </c>
      <c r="D95" s="114">
        <f>+[2]BS17!G73</f>
        <v>2</v>
      </c>
      <c r="E95" s="115">
        <f>+[2]BS17!H73</f>
        <v>0</v>
      </c>
      <c r="F95" s="116">
        <f>[2]BS17A!V1166</f>
        <v>2470410</v>
      </c>
    </row>
    <row r="96" spans="1:6" ht="15" customHeight="1" x14ac:dyDescent="0.2">
      <c r="A96" s="22" t="s">
        <v>147</v>
      </c>
      <c r="B96" s="27" t="s">
        <v>148</v>
      </c>
      <c r="C96" s="113">
        <f>+[2]BS17!F74</f>
        <v>3</v>
      </c>
      <c r="D96" s="114">
        <f>+[2]BS17!G74</f>
        <v>0</v>
      </c>
      <c r="E96" s="115">
        <f>+[2]BS17!H74</f>
        <v>0</v>
      </c>
      <c r="F96" s="116">
        <f>[2]BS17A!V1221</f>
        <v>288870</v>
      </c>
    </row>
    <row r="97" spans="1:6" ht="15" customHeight="1" x14ac:dyDescent="0.2">
      <c r="A97" s="22" t="s">
        <v>149</v>
      </c>
      <c r="B97" s="27" t="s">
        <v>150</v>
      </c>
      <c r="C97" s="113">
        <f>+[2]BS17!F75</f>
        <v>6</v>
      </c>
      <c r="D97" s="114">
        <f>+[2]BS17!G75</f>
        <v>0</v>
      </c>
      <c r="E97" s="115">
        <f>+[2]BS17!H75</f>
        <v>0</v>
      </c>
      <c r="F97" s="116">
        <f>[2]BS17A!V1287</f>
        <v>315660</v>
      </c>
    </row>
    <row r="98" spans="1:6" ht="15" customHeight="1" x14ac:dyDescent="0.2">
      <c r="A98" s="22" t="s">
        <v>151</v>
      </c>
      <c r="B98" s="27" t="s">
        <v>152</v>
      </c>
      <c r="C98" s="113">
        <f>+[2]BS17!F76</f>
        <v>156</v>
      </c>
      <c r="D98" s="114">
        <f>+[2]BS17!G76</f>
        <v>14</v>
      </c>
      <c r="E98" s="115">
        <f>+[2]BS17!H76</f>
        <v>0</v>
      </c>
      <c r="F98" s="116">
        <f>[2]BS17A!V1357</f>
        <v>39109925</v>
      </c>
    </row>
    <row r="99" spans="1:6" ht="15" customHeight="1" x14ac:dyDescent="0.2">
      <c r="A99" s="22" t="s">
        <v>153</v>
      </c>
      <c r="B99" s="27" t="s">
        <v>154</v>
      </c>
      <c r="C99" s="113">
        <f>+[2]BS17!F77</f>
        <v>6</v>
      </c>
      <c r="D99" s="114">
        <f>+[2]BS17!G77</f>
        <v>0</v>
      </c>
      <c r="E99" s="115">
        <f>+[2]BS17!H77</f>
        <v>0</v>
      </c>
      <c r="F99" s="116">
        <f>[2]BS17A!V1441</f>
        <v>880440</v>
      </c>
    </row>
    <row r="100" spans="1:6" ht="15" customHeight="1" x14ac:dyDescent="0.2">
      <c r="A100" s="22" t="s">
        <v>155</v>
      </c>
      <c r="B100" s="27" t="s">
        <v>156</v>
      </c>
      <c r="C100" s="113">
        <f>+[2]BS17!F78</f>
        <v>42</v>
      </c>
      <c r="D100" s="114">
        <f>+[2]BS17!G78</f>
        <v>2</v>
      </c>
      <c r="E100" s="115">
        <f>+[2]BS17!H78</f>
        <v>0</v>
      </c>
      <c r="F100" s="116">
        <f>[2]BS17A!V1489</f>
        <v>8543320</v>
      </c>
    </row>
    <row r="101" spans="1:6" ht="15" customHeight="1" x14ac:dyDescent="0.2">
      <c r="A101" s="22" t="s">
        <v>157</v>
      </c>
      <c r="B101" s="27" t="s">
        <v>158</v>
      </c>
      <c r="C101" s="113">
        <f>+[2]BS17!F79</f>
        <v>6</v>
      </c>
      <c r="D101" s="114">
        <f>+[2]BS17!G79</f>
        <v>0</v>
      </c>
      <c r="E101" s="115">
        <f>+[2]BS17!H79</f>
        <v>0</v>
      </c>
      <c r="F101" s="116">
        <f>[2]BS17A!V1592</f>
        <v>1500990</v>
      </c>
    </row>
    <row r="102" spans="1:6" ht="15" customHeight="1" x14ac:dyDescent="0.2">
      <c r="A102" s="65" t="s">
        <v>159</v>
      </c>
      <c r="B102" s="29" t="s">
        <v>160</v>
      </c>
      <c r="C102" s="117">
        <f>+[2]BS17!F80</f>
        <v>31</v>
      </c>
      <c r="D102" s="118">
        <f>+[2]BS17!G80</f>
        <v>2</v>
      </c>
      <c r="E102" s="119">
        <f>+[2]BS17!H80</f>
        <v>0</v>
      </c>
      <c r="F102" s="120">
        <f>[2]BS17A!V1597</f>
        <v>6469560</v>
      </c>
    </row>
    <row r="103" spans="1:6" ht="15" customHeight="1" x14ac:dyDescent="0.2">
      <c r="A103" s="17" t="s">
        <v>161</v>
      </c>
      <c r="B103" s="36" t="s">
        <v>162</v>
      </c>
      <c r="C103" s="109">
        <f>+[2]BS17!F81</f>
        <v>70</v>
      </c>
      <c r="D103" s="110">
        <f>+[2]BS17!G81</f>
        <v>2</v>
      </c>
      <c r="E103" s="111">
        <f>+[2]BS17!H81</f>
        <v>0</v>
      </c>
      <c r="F103" s="112">
        <f>+[2]BS17A!V1631</f>
        <v>8431410</v>
      </c>
    </row>
    <row r="104" spans="1:6" ht="15" customHeight="1" x14ac:dyDescent="0.2">
      <c r="A104" s="22"/>
      <c r="B104" s="27" t="s">
        <v>163</v>
      </c>
      <c r="C104" s="113">
        <f>+[2]BS17A!D1635</f>
        <v>0</v>
      </c>
      <c r="D104" s="114">
        <f>+[2]BS17A!F1635</f>
        <v>0</v>
      </c>
      <c r="E104" s="115">
        <f>+[2]BS17A!G1635</f>
        <v>0</v>
      </c>
      <c r="F104" s="116">
        <f>+[2]BS17A!V1635</f>
        <v>0</v>
      </c>
    </row>
    <row r="105" spans="1:6" ht="15" customHeight="1" x14ac:dyDescent="0.2">
      <c r="A105" s="22"/>
      <c r="B105" s="27" t="s">
        <v>164</v>
      </c>
      <c r="C105" s="113">
        <f>+[2]BS17A!D1634</f>
        <v>48</v>
      </c>
      <c r="D105" s="114">
        <f>+[2]BS17A!F1634</f>
        <v>0</v>
      </c>
      <c r="E105" s="115">
        <f>+[2]BS17A!G1634</f>
        <v>0</v>
      </c>
      <c r="F105" s="116">
        <f>+[2]BS17A!V1634</f>
        <v>6189600</v>
      </c>
    </row>
    <row r="106" spans="1:6" ht="15" customHeight="1" x14ac:dyDescent="0.2">
      <c r="A106" s="28"/>
      <c r="B106" s="39" t="s">
        <v>165</v>
      </c>
      <c r="C106" s="121">
        <f>+[2]BS17A!D1632+[2]BS17A!D1633</f>
        <v>22</v>
      </c>
      <c r="D106" s="122">
        <f>+[2]BS17A!F1632+[2]BS17A!F1633</f>
        <v>2</v>
      </c>
      <c r="E106" s="123">
        <f>+[2]BS17A!G1632+[2]BS17A!G1633</f>
        <v>0</v>
      </c>
      <c r="F106" s="124">
        <f>+[2]BS17A!V1632+[2]BS17A!V1633</f>
        <v>2241810</v>
      </c>
    </row>
    <row r="107" spans="1:6" ht="15" customHeight="1" x14ac:dyDescent="0.2">
      <c r="A107" s="59" t="s">
        <v>166</v>
      </c>
      <c r="B107" s="79" t="s">
        <v>167</v>
      </c>
      <c r="C107" s="125">
        <f>+[2]BS17!F82</f>
        <v>33</v>
      </c>
      <c r="D107" s="126">
        <f>+[2]BS17!G82</f>
        <v>1</v>
      </c>
      <c r="E107" s="127">
        <f>+[2]BS17!H82</f>
        <v>0</v>
      </c>
      <c r="F107" s="128">
        <f>+[2]BS17A!V1639</f>
        <v>6802140</v>
      </c>
    </row>
    <row r="108" spans="1:6" ht="15" customHeight="1" x14ac:dyDescent="0.2">
      <c r="A108" s="129">
        <v>2106</v>
      </c>
      <c r="B108" s="39" t="s">
        <v>168</v>
      </c>
      <c r="C108" s="121">
        <f>[2]BS17A!D1845</f>
        <v>13</v>
      </c>
      <c r="D108" s="122">
        <f>[2]BS17A!F1845</f>
        <v>0</v>
      </c>
      <c r="E108" s="123">
        <f>[2]BS17A!G1845</f>
        <v>0</v>
      </c>
      <c r="F108" s="124">
        <f>+[2]BS17A!V1845</f>
        <v>808590</v>
      </c>
    </row>
    <row r="109" spans="1:6" ht="15" customHeight="1" x14ac:dyDescent="0.2">
      <c r="A109" s="130"/>
      <c r="B109" s="131" t="s">
        <v>169</v>
      </c>
      <c r="C109" s="132">
        <f>SUM(C90:C108)-C103</f>
        <v>785</v>
      </c>
      <c r="D109" s="133">
        <f>SUM(D90:D108)-D103</f>
        <v>32</v>
      </c>
      <c r="E109" s="134">
        <f>+SUM(E90:E103)+E107+E108</f>
        <v>0</v>
      </c>
      <c r="F109" s="135">
        <f>+SUM(F90:F103)+F107+F108</f>
        <v>148079590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53" t="s">
        <v>170</v>
      </c>
      <c r="B112" s="754"/>
      <c r="C112" s="754"/>
      <c r="D112" s="754"/>
      <c r="E112" s="755"/>
      <c r="F112" s="5"/>
    </row>
    <row r="113" spans="1:6" ht="49.5" customHeight="1" x14ac:dyDescent="0.2">
      <c r="A113" s="11" t="s">
        <v>8</v>
      </c>
      <c r="B113" s="11" t="s">
        <v>9</v>
      </c>
      <c r="C113" s="15" t="s">
        <v>10</v>
      </c>
      <c r="D113" s="13" t="s">
        <v>11</v>
      </c>
      <c r="E113" s="16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+[2]BS17A!D1636</f>
        <v>108</v>
      </c>
      <c r="D114" s="136">
        <f>+[2]BS17A!U1636</f>
        <v>128940</v>
      </c>
      <c r="E114" s="137">
        <f>+[2]BS17A!V1636</f>
        <v>13925520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+[2]BS17A!D1637</f>
        <v>2</v>
      </c>
      <c r="D115" s="139">
        <f>+[2]BS17A!U1637</f>
        <v>135670</v>
      </c>
      <c r="E115" s="106">
        <f>+[2]BS17A!V1637</f>
        <v>271340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110</v>
      </c>
      <c r="D116" s="57"/>
      <c r="E116" s="107">
        <f>SUM(E114:E115)</f>
        <v>14196860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64" t="s">
        <v>176</v>
      </c>
      <c r="B119" s="764"/>
      <c r="C119" s="764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+[2]BS17A!V1871+[2]BS17A!V1889+[2]BS17A!V1914</f>
        <v>12642510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53" t="s">
        <v>179</v>
      </c>
      <c r="B124" s="754"/>
      <c r="C124" s="754"/>
      <c r="D124" s="754"/>
      <c r="E124" s="755"/>
      <c r="F124" s="5"/>
    </row>
    <row r="125" spans="1:6" ht="45.75" customHeight="1" x14ac:dyDescent="0.2">
      <c r="A125" s="11" t="s">
        <v>8</v>
      </c>
      <c r="B125" s="11" t="s">
        <v>9</v>
      </c>
      <c r="C125" s="15" t="s">
        <v>10</v>
      </c>
      <c r="D125" s="13" t="s">
        <v>11</v>
      </c>
      <c r="E125" s="16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+[2]BS17A!$D59</f>
        <v>4951</v>
      </c>
      <c r="D126" s="37">
        <f>+[2]BS17A!$U59</f>
        <v>33020</v>
      </c>
      <c r="E126" s="145">
        <f>+[2]BS17A!$V59</f>
        <v>163482020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+[2]BS17A!$D60</f>
        <v>0</v>
      </c>
      <c r="D127" s="24">
        <f>+[2]BS17A!$U60</f>
        <v>30400</v>
      </c>
      <c r="E127" s="146">
        <f>+[2]BS17A!$V60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+[2]BS17A!$D61</f>
        <v>0</v>
      </c>
      <c r="D128" s="24">
        <f>+[2]BS17A!$U61</f>
        <v>25340</v>
      </c>
      <c r="E128" s="146">
        <f>+[2]BS17A!$V61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SUM([2]BS17A!D62:D64)</f>
        <v>191</v>
      </c>
      <c r="D129" s="24">
        <f>+[2]BS17A!$U62</f>
        <v>137290</v>
      </c>
      <c r="E129" s="146">
        <f>SUM([2]BS17A!V62:V64)</f>
        <v>26222390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SUM([2]BS17A!D65:D67)</f>
        <v>346</v>
      </c>
      <c r="D130" s="24">
        <f>+[2]BS17A!$U65</f>
        <v>66300</v>
      </c>
      <c r="E130" s="146">
        <f>SUM([2]BS17A!V65:V67)</f>
        <v>22939800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+[2]BS17A!D68</f>
        <v>141</v>
      </c>
      <c r="D131" s="24">
        <f>+[2]BS17A!$U68</f>
        <v>59490</v>
      </c>
      <c r="E131" s="146">
        <f>+[2]BS17A!$V68</f>
        <v>8388090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+[2]BS17A!$D69</f>
        <v>0</v>
      </c>
      <c r="D132" s="24">
        <f>+[2]BS17A!$U69</f>
        <v>16880</v>
      </c>
      <c r="E132" s="146">
        <f>+[2]BS17A!$V69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+[2]BS17A!$D70</f>
        <v>0</v>
      </c>
      <c r="D133" s="24">
        <f>+[2]BS17A!$U70</f>
        <v>26450</v>
      </c>
      <c r="E133" s="146">
        <f>+[2]BS17A!$V70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+[2]BS17A!$D73</f>
        <v>0</v>
      </c>
      <c r="D134" s="24">
        <f>+[2]BS17A!$U73</f>
        <v>26670</v>
      </c>
      <c r="E134" s="146">
        <f>+[2]BS17A!$V73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+[2]BS17A!$D71</f>
        <v>0</v>
      </c>
      <c r="D135" s="24">
        <f>+[2]BS17A!$U71</f>
        <v>27530</v>
      </c>
      <c r="E135" s="146">
        <f>+[2]BS17A!$V71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+[2]BS17A!$D76</f>
        <v>0</v>
      </c>
      <c r="D136" s="24">
        <f>+[2]BS17A!$U76</f>
        <v>33020</v>
      </c>
      <c r="E136" s="146">
        <f>+[2]BS17A!$V76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+[2]BS17A!$D79</f>
        <v>48</v>
      </c>
      <c r="D137" s="24">
        <f>+[2]BS17A!$U79</f>
        <v>6410</v>
      </c>
      <c r="E137" s="146">
        <f>+[2]BS17A!$V79</f>
        <v>307680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+[2]BS17A!$D80</f>
        <v>0</v>
      </c>
      <c r="D138" s="24">
        <f>+[2]BS17A!$U80</f>
        <v>46280</v>
      </c>
      <c r="E138" s="146">
        <f>+[2]BS17A!$V80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5677</v>
      </c>
      <c r="D139" s="149"/>
      <c r="E139" s="150">
        <f>SUM(E126:E138)</f>
        <v>221339980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+[2]BS17A!$D72</f>
        <v>0</v>
      </c>
      <c r="D141" s="24">
        <f>+[2]BS17A!$U72</f>
        <v>11100</v>
      </c>
      <c r="E141" s="146">
        <f>+[2]BS17A!$V72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+[2]BS17A!$D74</f>
        <v>0</v>
      </c>
      <c r="D142" s="24">
        <f>+[2]BS17A!$U74</f>
        <v>11100</v>
      </c>
      <c r="E142" s="146">
        <f>+[2]BS17A!$V74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+[2]BS17A!$D75</f>
        <v>0</v>
      </c>
      <c r="D143" s="24">
        <f>+[2]BS17A!$U75</f>
        <v>4890</v>
      </c>
      <c r="E143" s="146">
        <f>+[2]BS17A!$V75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+[2]BS17A!$D77</f>
        <v>0</v>
      </c>
      <c r="D144" s="24">
        <f>+[2]BS17A!$U77</f>
        <v>89270</v>
      </c>
      <c r="E144" s="146">
        <f>+[2]BS17A!$V77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+[2]BS17A!$D78</f>
        <v>0</v>
      </c>
      <c r="D145" s="24">
        <f>+[2]BS17A!$U78</f>
        <v>10540</v>
      </c>
      <c r="E145" s="146">
        <f>+[2]BS17A!$V78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+[2]BS17A!$D81</f>
        <v>0</v>
      </c>
      <c r="D146" s="24">
        <f>+[2]BS17A!$U81</f>
        <v>8120</v>
      </c>
      <c r="E146" s="146">
        <f>+[2]BS17A!$V81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5677</v>
      </c>
      <c r="D148" s="151"/>
      <c r="E148" s="152">
        <f>+E139+E147</f>
        <v>221339980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45" t="s">
        <v>222</v>
      </c>
      <c r="B151" s="746"/>
      <c r="C151" s="746"/>
      <c r="D151" s="746"/>
      <c r="E151" s="747"/>
      <c r="F151" s="5"/>
    </row>
    <row r="152" spans="1:6" ht="47.25" customHeight="1" x14ac:dyDescent="0.2">
      <c r="A152" s="11" t="s">
        <v>8</v>
      </c>
      <c r="B152" s="11" t="s">
        <v>9</v>
      </c>
      <c r="C152" s="15" t="s">
        <v>10</v>
      </c>
      <c r="D152" s="13" t="s">
        <v>11</v>
      </c>
      <c r="E152" s="16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+[2]BS17A!D43</f>
        <v>333</v>
      </c>
      <c r="D153" s="37">
        <f>[2]BS17A!U43</f>
        <v>760</v>
      </c>
      <c r="E153" s="145">
        <f>+[2]BS17A!V43</f>
        <v>253080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+[2]BS17A!D44+[2]BS17A!D45</f>
        <v>0</v>
      </c>
      <c r="D154" s="40">
        <f>[2]BS17A!U44</f>
        <v>100</v>
      </c>
      <c r="E154" s="153">
        <f>+[2]BS17A!V44+[2]BS17A!V45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333</v>
      </c>
      <c r="D155" s="151"/>
      <c r="E155" s="152">
        <f>SUM(E153:E154)</f>
        <v>253080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5"/>
    </row>
    <row r="159" spans="1:6" ht="47.25" customHeight="1" x14ac:dyDescent="0.2">
      <c r="A159" s="11" t="s">
        <v>8</v>
      </c>
      <c r="B159" s="11" t="s">
        <v>9</v>
      </c>
      <c r="C159" s="15" t="s">
        <v>10</v>
      </c>
      <c r="D159" s="13" t="s">
        <v>11</v>
      </c>
      <c r="E159" s="16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+[2]BS17A!$D1481</f>
        <v>0</v>
      </c>
      <c r="D160" s="37">
        <f>+[2]BS17A!$U1481</f>
        <v>41580</v>
      </c>
      <c r="E160" s="145">
        <f>+[2]BS17A!$V1481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+[2]BS17A!$D1482</f>
        <v>0</v>
      </c>
      <c r="D161" s="24">
        <f>+[2]BS17A!$U1482</f>
        <v>26150</v>
      </c>
      <c r="E161" s="146">
        <f>+[2]BS17A!$V1482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+[2]BS17A!$D1483</f>
        <v>0</v>
      </c>
      <c r="D162" s="24">
        <f>+[2]BS17A!$U1483</f>
        <v>26930</v>
      </c>
      <c r="E162" s="146">
        <f>+[2]BS17A!$V1483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+[2]BS17A!$D1484</f>
        <v>0</v>
      </c>
      <c r="D163" s="24">
        <f>+[2]BS17A!$U1484</f>
        <v>808040</v>
      </c>
      <c r="E163" s="146">
        <f>+[2]BS17A!$V1484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+[2]BS17A!$D1485</f>
        <v>0</v>
      </c>
      <c r="D164" s="24">
        <f>+[2]BS17A!$U1485</f>
        <v>367020</v>
      </c>
      <c r="E164" s="146">
        <f>+[2]BS17A!$V1485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+[2]BS17A!$D1486</f>
        <v>0</v>
      </c>
      <c r="D165" s="24">
        <f>+[2]BS17A!$U1486</f>
        <v>561210</v>
      </c>
      <c r="E165" s="146">
        <f>+[2]BS17A!$V1486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+[2]BS17A!$D1487</f>
        <v>0</v>
      </c>
      <c r="D166" s="24">
        <f>+[2]BS17A!$U1487</f>
        <v>50600</v>
      </c>
      <c r="E166" s="146">
        <f>+[2]BS17A!$V1487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+[2]BS17A!$D1488</f>
        <v>0</v>
      </c>
      <c r="D167" s="40">
        <f>+[2]BS17A!$U1488</f>
        <v>657830</v>
      </c>
      <c r="E167" s="153">
        <f>+[2]BS17A!$V1488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5"/>
    </row>
    <row r="172" spans="1:6" ht="46.5" customHeight="1" x14ac:dyDescent="0.2">
      <c r="A172" s="11" t="s">
        <v>8</v>
      </c>
      <c r="B172" s="11" t="s">
        <v>9</v>
      </c>
      <c r="C172" s="15" t="s">
        <v>10</v>
      </c>
      <c r="D172" s="13" t="s">
        <v>11</v>
      </c>
      <c r="E172" s="16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+[2]BS17A!$D805</f>
        <v>9</v>
      </c>
      <c r="D173" s="37">
        <f>+[2]BS17A!$U805</f>
        <v>14260</v>
      </c>
      <c r="E173" s="145">
        <f>+[2]BS17A!$V805</f>
        <v>128340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+[2]BS17A!$D806</f>
        <v>0</v>
      </c>
      <c r="D174" s="24">
        <f>+[2]BS17A!$U806</f>
        <v>11400</v>
      </c>
      <c r="E174" s="146">
        <f>+[2]BS17A!$V806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+[2]BS17A!$D1197</f>
        <v>549</v>
      </c>
      <c r="D175" s="24">
        <f>+[2]BS17A!$U1197</f>
        <v>4880</v>
      </c>
      <c r="E175" s="146">
        <f>+[2]BS17A!$V1197</f>
        <v>2679120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+[2]BS17A!$D1198</f>
        <v>9</v>
      </c>
      <c r="D176" s="24">
        <f>+[2]BS17A!$U1198</f>
        <v>13770</v>
      </c>
      <c r="E176" s="146">
        <f>+[2]BS17A!$V1198</f>
        <v>123930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+[2]BS17A!$D1199</f>
        <v>29</v>
      </c>
      <c r="D177" s="24">
        <f>+[2]BS17A!$U1199</f>
        <v>23350</v>
      </c>
      <c r="E177" s="146">
        <f>+[2]BS17A!$V1199</f>
        <v>677150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+[2]BS17A!$D1200</f>
        <v>0</v>
      </c>
      <c r="D178" s="24">
        <f>+[2]BS17A!$U1200</f>
        <v>44580</v>
      </c>
      <c r="E178" s="146">
        <f>+[2]BS17A!$V1200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+[2]BS17A!$D1201</f>
        <v>113</v>
      </c>
      <c r="D179" s="24">
        <f>+[2]BS17A!$U1201</f>
        <v>49690</v>
      </c>
      <c r="E179" s="146">
        <f>+[2]BS17A!$V1201</f>
        <v>5614970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+[2]BS17A!$D1202</f>
        <v>0</v>
      </c>
      <c r="D180" s="24">
        <f>+[2]BS17A!$U1202</f>
        <v>27870</v>
      </c>
      <c r="E180" s="146">
        <f>+[2]BS17A!$V1202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+[2]BS17A!$D1203</f>
        <v>0</v>
      </c>
      <c r="D181" s="24">
        <f>+[2]BS17A!$U1203</f>
        <v>215630</v>
      </c>
      <c r="E181" s="146">
        <f>+[2]BS17A!$V1203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+[2]BS17A!$D1204</f>
        <v>0</v>
      </c>
      <c r="D182" s="24">
        <f>+[2]BS17A!$U1204</f>
        <v>245140</v>
      </c>
      <c r="E182" s="146">
        <f>+[2]BS17A!$V1204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+[2]BS17A!$D1205</f>
        <v>0</v>
      </c>
      <c r="D183" s="24">
        <f>+[2]BS17A!$U1205</f>
        <v>199900</v>
      </c>
      <c r="E183" s="146">
        <f>+[2]BS17A!$V1205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+[2]BS17A!$D1206</f>
        <v>0</v>
      </c>
      <c r="D184" s="24">
        <f>+[2]BS17A!$U1206</f>
        <v>256770</v>
      </c>
      <c r="E184" s="146">
        <f>+[2]BS17A!$V1206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+[2]BS17A!$D1207</f>
        <v>0</v>
      </c>
      <c r="D185" s="24">
        <f>+[2]BS17A!$U1207</f>
        <v>262730</v>
      </c>
      <c r="E185" s="146">
        <f>+[2]BS17A!$V1207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+[2]BS17A!$D1208</f>
        <v>0</v>
      </c>
      <c r="D186" s="24">
        <f>+[2]BS17A!$U1208</f>
        <v>222180</v>
      </c>
      <c r="E186" s="146">
        <f>+[2]BS17A!$V1208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+[2]BS17A!$D1209</f>
        <v>0</v>
      </c>
      <c r="D187" s="24">
        <f>+[2]BS17A!$U1209</f>
        <v>237160</v>
      </c>
      <c r="E187" s="146">
        <f>+[2]BS17A!$V1209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+[2]BS17A!$D1210</f>
        <v>0</v>
      </c>
      <c r="D188" s="24">
        <f>+[2]BS17A!$U1210</f>
        <v>283580</v>
      </c>
      <c r="E188" s="146">
        <f>+[2]BS17A!$V1210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+[2]BS17A!$D1211</f>
        <v>0</v>
      </c>
      <c r="D189" s="24">
        <f>+[2]BS17A!$U1211</f>
        <v>251470</v>
      </c>
      <c r="E189" s="146">
        <f>+[2]BS17A!$V1211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+[2]BS17A!$D1212</f>
        <v>0</v>
      </c>
      <c r="D190" s="24">
        <f>+[2]BS17A!$U1212</f>
        <v>1840310</v>
      </c>
      <c r="E190" s="146">
        <f>+[2]BS17A!$V1212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+[2]BS17A!$D1213</f>
        <v>0</v>
      </c>
      <c r="D191" s="24">
        <f>+[2]BS17A!$U1213</f>
        <v>1149460</v>
      </c>
      <c r="E191" s="146">
        <f>+[2]BS17A!$V1213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+[2]BS17A!$D1214</f>
        <v>0</v>
      </c>
      <c r="D192" s="24">
        <f>+[2]BS17A!$U1214</f>
        <v>1112540</v>
      </c>
      <c r="E192" s="146">
        <f>+[2]BS17A!$V1214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+[2]BS17A!$D1215</f>
        <v>0</v>
      </c>
      <c r="D193" s="24">
        <f>+[2]BS17A!$U1215</f>
        <v>1165530</v>
      </c>
      <c r="E193" s="146">
        <f>+[2]BS17A!$V1215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+[2]BS17A!$D1216</f>
        <v>0</v>
      </c>
      <c r="D194" s="24">
        <f>+[2]BS17A!$U1216</f>
        <v>164930</v>
      </c>
      <c r="E194" s="146">
        <f>+[2]BS17A!$V1216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+[2]BS17A!$D1217</f>
        <v>0</v>
      </c>
      <c r="D195" s="24">
        <f>+[2]BS17A!$U1217</f>
        <v>376370</v>
      </c>
      <c r="E195" s="146">
        <f>+[2]BS17A!$V1217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+[2]BS17A!$D1218</f>
        <v>0</v>
      </c>
      <c r="D196" s="24">
        <f>+[2]BS17A!$U1218</f>
        <v>139530</v>
      </c>
      <c r="E196" s="146">
        <f>+[2]BS17A!$V1218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+[2]BS17A!$D1219</f>
        <v>0</v>
      </c>
      <c r="D197" s="24">
        <f>+[2]BS17A!$U1219</f>
        <v>1130520</v>
      </c>
      <c r="E197" s="146">
        <f>+[2]BS17A!$V1219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+[2]BS17A!$D1220</f>
        <v>0</v>
      </c>
      <c r="D198" s="24">
        <f>+[2]BS17A!$U1220</f>
        <v>1130520</v>
      </c>
      <c r="E198" s="146">
        <f>+[2]BS17A!$V1220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+[2]BS17A!$D1354</f>
        <v>63</v>
      </c>
      <c r="D199" s="24">
        <f>+[2]BS17A!$U1354</f>
        <v>33720</v>
      </c>
      <c r="E199" s="146">
        <f>+[2]BS17A!$V1354</f>
        <v>2124360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+[2]BS17A!$D1355</f>
        <v>0</v>
      </c>
      <c r="D200" s="24">
        <f>+[2]BS17A!$U1355</f>
        <v>40670</v>
      </c>
      <c r="E200" s="146">
        <f>+[2]BS17A!$V1355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+[2]BS17A!$D1356</f>
        <v>11</v>
      </c>
      <c r="D201" s="24">
        <f>+[2]BS17A!$U1356</f>
        <v>43320</v>
      </c>
      <c r="E201" s="146">
        <f>+[2]BS17A!$V1356</f>
        <v>476520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[2]BS17A!D1036</f>
        <v>0</v>
      </c>
      <c r="D202" s="24">
        <f>[2]BS17A!U1036</f>
        <v>9120</v>
      </c>
      <c r="E202" s="146">
        <f>[2]BS17A!V1036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[2]BS17A!D807</f>
        <v>0</v>
      </c>
      <c r="D203" s="24">
        <f>[2]BS17A!U807</f>
        <v>386950</v>
      </c>
      <c r="E203" s="146">
        <f>[2]BS17A!V807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[2]BS17A!D808</f>
        <v>0</v>
      </c>
      <c r="D204" s="24">
        <f>[2]BS17A!U808</f>
        <v>8685620</v>
      </c>
      <c r="E204" s="146">
        <f>[2]BS17A!V808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[2]BS17A!D809</f>
        <v>0</v>
      </c>
      <c r="D205" s="24">
        <f>[2]BS17A!U809</f>
        <v>222960</v>
      </c>
      <c r="E205" s="146">
        <f>[2]BS17A!V809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[2]BS17A!D810</f>
        <v>0</v>
      </c>
      <c r="D206" s="40">
        <f>[2]BS17A!U810</f>
        <v>1016710</v>
      </c>
      <c r="E206" s="153">
        <f>[2]BS17A!V810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783</v>
      </c>
      <c r="D207" s="151"/>
      <c r="E207" s="152">
        <f>SUM(E173:E206)</f>
        <v>11824390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5"/>
    </row>
    <row r="211" spans="1:6" ht="39.75" customHeight="1" x14ac:dyDescent="0.2">
      <c r="A211" s="11" t="s">
        <v>8</v>
      </c>
      <c r="B211" s="11" t="s">
        <v>9</v>
      </c>
      <c r="C211" s="15" t="s">
        <v>10</v>
      </c>
      <c r="D211" s="13" t="s">
        <v>11</v>
      </c>
      <c r="E211" s="16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+[2]BS17A!$D18</f>
        <v>0</v>
      </c>
      <c r="D212" s="37">
        <f>+[2]BS17A!$U18</f>
        <v>14110</v>
      </c>
      <c r="E212" s="145">
        <f>+[2]BS17A!$V18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+[2]BS17A!$D19</f>
        <v>57</v>
      </c>
      <c r="D213" s="24">
        <f>+[2]BS17A!$U19</f>
        <v>14110</v>
      </c>
      <c r="E213" s="146">
        <f>+[2]BS17A!$V19</f>
        <v>804270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+[2]BS17A!$D47</f>
        <v>0</v>
      </c>
      <c r="D214" s="24">
        <f>+[2]BS17A!$U47</f>
        <v>1350</v>
      </c>
      <c r="E214" s="146">
        <f>+[2]BS17A!$V47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+[2]BS17A!$D48</f>
        <v>471</v>
      </c>
      <c r="D215" s="24">
        <f>+[2]BS17A!$U48</f>
        <v>660</v>
      </c>
      <c r="E215" s="146">
        <f>+[2]BS17A!$V48</f>
        <v>310860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+[2]BS17A!$D49</f>
        <v>2055</v>
      </c>
      <c r="D216" s="24">
        <f>+[2]BS17A!$U49</f>
        <v>2000</v>
      </c>
      <c r="E216" s="146">
        <f>+[2]BS17A!$V49</f>
        <v>4110000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+[2]BS17A!$D50</f>
        <v>59</v>
      </c>
      <c r="D217" s="24">
        <f>+[2]BS17A!$U50</f>
        <v>15030</v>
      </c>
      <c r="E217" s="146">
        <f>+[2]BS17A!$V50</f>
        <v>886770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+[2]BS17A!$D51</f>
        <v>114</v>
      </c>
      <c r="D218" s="24">
        <f>+[2]BS17A!$U51</f>
        <v>34510</v>
      </c>
      <c r="E218" s="146">
        <f>+[2]BS17A!$V51</f>
        <v>3934140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+[2]BS17A!D52</f>
        <v>15</v>
      </c>
      <c r="D219" s="174"/>
      <c r="E219" s="146">
        <f>+[2]BS17A!V52</f>
        <v>129150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+[2]BS17A!$D1861</f>
        <v>49</v>
      </c>
      <c r="D220" s="40">
        <f>+[2]BS17A!$U1861</f>
        <v>27970</v>
      </c>
      <c r="E220" s="153">
        <f>+[2]BS17A!$V1861</f>
        <v>1370530</v>
      </c>
      <c r="F220" s="8"/>
    </row>
    <row r="221" spans="1:6" ht="12.75" x14ac:dyDescent="0.2">
      <c r="A221" s="130"/>
      <c r="B221" s="131" t="s">
        <v>329</v>
      </c>
      <c r="C221" s="44">
        <f>SUM(C212:C220)</f>
        <v>2820</v>
      </c>
      <c r="D221" s="151"/>
      <c r="E221" s="175">
        <f>SUM(E212:E220)</f>
        <v>11545720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65" t="s">
        <v>330</v>
      </c>
      <c r="B224" s="766"/>
      <c r="C224" s="767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15" t="s">
        <v>10</v>
      </c>
      <c r="D232" s="13" t="s">
        <v>11</v>
      </c>
      <c r="E232" s="16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+[2]BS17A!$D1941</f>
        <v>238</v>
      </c>
      <c r="D233" s="37">
        <f>+[2]BS17A!$U1941</f>
        <v>19310</v>
      </c>
      <c r="E233" s="145">
        <f>+[2]BS17A!$V1941</f>
        <v>4595780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+[2]BS17A!$D1942</f>
        <v>0</v>
      </c>
      <c r="D234" s="40">
        <f>+[2]BS17A!$U1942</f>
        <v>242060</v>
      </c>
      <c r="E234" s="153">
        <f>+[2]BS17A!$V1942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238</v>
      </c>
      <c r="D235" s="151"/>
      <c r="E235" s="152">
        <f>SUM(E233:E234)</f>
        <v>4595780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8"/>
    </row>
    <row r="239" spans="1:7" ht="41.25" customHeight="1" x14ac:dyDescent="0.2">
      <c r="A239" s="11" t="s">
        <v>8</v>
      </c>
      <c r="B239" s="11" t="s">
        <v>9</v>
      </c>
      <c r="C239" s="15" t="s">
        <v>10</v>
      </c>
      <c r="D239" s="13" t="s">
        <v>11</v>
      </c>
      <c r="E239" s="16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[2]BS17A!D768</f>
        <v>898</v>
      </c>
      <c r="D240" s="191"/>
      <c r="E240" s="192">
        <f>[2]BS17A!V768</f>
        <v>6214520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8"/>
    </row>
    <row r="243" spans="1:6" ht="43.5" customHeight="1" x14ac:dyDescent="0.2">
      <c r="A243" s="11" t="s">
        <v>8</v>
      </c>
      <c r="B243" s="15" t="s">
        <v>346</v>
      </c>
      <c r="C243" s="100" t="s">
        <v>347</v>
      </c>
      <c r="D243" s="13" t="s">
        <v>11</v>
      </c>
      <c r="E243" s="16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+[2]BS17A!$D1944</f>
        <v>0</v>
      </c>
      <c r="D244" s="37">
        <f>+[2]BS17A!$U1944</f>
        <v>247230</v>
      </c>
      <c r="E244" s="145">
        <f>+[2]BS17A!$V1944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+[2]BS17A!$D1945</f>
        <v>0</v>
      </c>
      <c r="D245" s="24">
        <f>+[2]BS17A!$U1945</f>
        <v>35130</v>
      </c>
      <c r="E245" s="146">
        <f>+[2]BS17A!$V1945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+[2]BS17A!$D1946</f>
        <v>0</v>
      </c>
      <c r="D246" s="24">
        <f>+[2]BS17A!$U1946</f>
        <v>132520</v>
      </c>
      <c r="E246" s="146">
        <f>+[2]BS17A!$V1946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+[2]BS17A!$D1947</f>
        <v>0</v>
      </c>
      <c r="D247" s="24">
        <f>+[2]BS17A!$U1947</f>
        <v>132520</v>
      </c>
      <c r="E247" s="146">
        <f>+[2]BS17A!$V1947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+[2]BS17A!$D1948</f>
        <v>0</v>
      </c>
      <c r="D248" s="24">
        <f>+[2]BS17A!$U1948</f>
        <v>241260</v>
      </c>
      <c r="E248" s="146">
        <f>+[2]BS17A!$V1948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+[2]BS17A!$D1949</f>
        <v>0</v>
      </c>
      <c r="D249" s="24">
        <f>+[2]BS17A!$U1949</f>
        <v>370240</v>
      </c>
      <c r="E249" s="146">
        <f>+[2]BS17A!$V1949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+[2]BS17A!$D1950</f>
        <v>0</v>
      </c>
      <c r="D250" s="24">
        <f>+[2]BS17A!$U1950</f>
        <v>631610</v>
      </c>
      <c r="E250" s="146">
        <f>+[2]BS17A!$V1950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+[2]BS17A!$D1951</f>
        <v>0</v>
      </c>
      <c r="D251" s="24">
        <f>+[2]BS17A!$U1951</f>
        <v>131550</v>
      </c>
      <c r="E251" s="146">
        <f>+[2]BS17A!$V1951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+[2]BS17A!$D1952</f>
        <v>0</v>
      </c>
      <c r="D252" s="24">
        <f>+[2]BS17A!$U1952</f>
        <v>354560</v>
      </c>
      <c r="E252" s="146">
        <f>+[2]BS17A!$V1952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+[2]BS17A!$D1953</f>
        <v>0</v>
      </c>
      <c r="D253" s="31">
        <f>+[2]BS17A!$U1953</f>
        <v>149290</v>
      </c>
      <c r="E253" s="198">
        <f>+[2]BS17A!$V1953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+[2]BS17A!$D1954</f>
        <v>0</v>
      </c>
      <c r="D254" s="31">
        <f>+[2]BS17A!$U1954</f>
        <v>129730</v>
      </c>
      <c r="E254" s="198">
        <f>+[2]BS17A!$V1954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+[2]BS17A!$D1955</f>
        <v>0</v>
      </c>
      <c r="D255" s="31">
        <f>+[2]BS17A!$U1955</f>
        <v>197230</v>
      </c>
      <c r="E255" s="198">
        <f>+[2]BS17A!$V1955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+[2]BS17A!$D1956</f>
        <v>0</v>
      </c>
      <c r="D256" s="31">
        <f>+[2]BS17A!$U1956</f>
        <v>51900</v>
      </c>
      <c r="E256" s="198">
        <f>+[2]BS17A!$V1956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+[2]BS17A!$D1957</f>
        <v>0</v>
      </c>
      <c r="D257" s="40">
        <f>+[2]BS17A!$U1957</f>
        <v>38790</v>
      </c>
      <c r="E257" s="153">
        <f>+[2]BS17A!$V1957</f>
        <v>0</v>
      </c>
      <c r="F257" s="8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+[2]BS17A!$D1958</f>
        <v>0</v>
      </c>
      <c r="D259" s="37">
        <f>+[2]BS17A!$U1958</f>
        <v>212700</v>
      </c>
      <c r="E259" s="145">
        <f>+[2]BS17A!$V1958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+[2]BS17A!$D1959</f>
        <v>0</v>
      </c>
      <c r="D260" s="24">
        <f>+[2]BS17A!$U1959</f>
        <v>1265290</v>
      </c>
      <c r="E260" s="146">
        <f>+[2]BS17A!$V1959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+[2]BS17A!$D1960</f>
        <v>0</v>
      </c>
      <c r="D261" s="24">
        <f>+[2]BS17A!$U1960</f>
        <v>190900</v>
      </c>
      <c r="E261" s="146">
        <f>+[2]BS17A!$V1960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+[2]BS17A!$D1961</f>
        <v>0</v>
      </c>
      <c r="D262" s="24">
        <f>+[2]BS17A!$U1961</f>
        <v>168820</v>
      </c>
      <c r="E262" s="146">
        <f>+[2]BS17A!$V1961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+[2]BS17A!$D1962</f>
        <v>0</v>
      </c>
      <c r="D263" s="24">
        <f>+[2]BS17A!$U1962</f>
        <v>342700</v>
      </c>
      <c r="E263" s="146">
        <f>+[2]BS17A!$V1962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+[2]BS17A!$D1963</f>
        <v>0</v>
      </c>
      <c r="D264" s="24">
        <f>+[2]BS17A!$U1963</f>
        <v>1139590</v>
      </c>
      <c r="E264" s="146">
        <f>+[2]BS17A!$V1963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+[2]BS17A!$D1964</f>
        <v>0</v>
      </c>
      <c r="D265" s="24">
        <f>+[2]BS17A!$U1964</f>
        <v>1171120</v>
      </c>
      <c r="E265" s="146">
        <f>+[2]BS17A!$V1964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+[2]BS17A!$D1965</f>
        <v>0</v>
      </c>
      <c r="D266" s="24">
        <f>+[2]BS17A!$U1965</f>
        <v>927270</v>
      </c>
      <c r="E266" s="146">
        <f>+[2]BS17A!$V1965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+[2]BS17A!$D1966</f>
        <v>0</v>
      </c>
      <c r="D267" s="24">
        <f>+[2]BS17A!$U1966</f>
        <v>977250</v>
      </c>
      <c r="E267" s="146">
        <f>+[2]BS17A!$V1966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+[2]BS17A!$D1967</f>
        <v>0</v>
      </c>
      <c r="D268" s="24">
        <f>+[2]BS17A!$U1967</f>
        <v>385520</v>
      </c>
      <c r="E268" s="146">
        <f>+[2]BS17A!$V1967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+[2]BS17A!$D1968</f>
        <v>0</v>
      </c>
      <c r="D269" s="24">
        <f>+[2]BS17A!$U1968</f>
        <v>92330</v>
      </c>
      <c r="E269" s="146">
        <f>+[2]BS17A!$V1968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+[2]BS17A!$D1969</f>
        <v>0</v>
      </c>
      <c r="D270" s="24">
        <f>+[2]BS17A!$U1969</f>
        <v>275450</v>
      </c>
      <c r="E270" s="146">
        <f>+[2]BS17A!$V1969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+[2]BS17A!$D1970</f>
        <v>0</v>
      </c>
      <c r="D271" s="24">
        <f>+[2]BS17A!$U1970</f>
        <v>77880</v>
      </c>
      <c r="E271" s="146">
        <f>+[2]BS17A!$V1970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+[2]BS17A!$D1971</f>
        <v>0</v>
      </c>
      <c r="D272" s="24">
        <f>+[2]BS17A!$U1971</f>
        <v>1338250</v>
      </c>
      <c r="E272" s="146">
        <f>+[2]BS17A!$V1971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+[2]BS17A!$D1972</f>
        <v>0</v>
      </c>
      <c r="D273" s="24">
        <f>+[2]BS17A!$U1972</f>
        <v>312910</v>
      </c>
      <c r="E273" s="146">
        <f>+[2]BS17A!$V1972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+[2]BS17A!$D1973</f>
        <v>0</v>
      </c>
      <c r="D274" s="24">
        <f>+[2]BS17A!$U1973</f>
        <v>1048270</v>
      </c>
      <c r="E274" s="146">
        <f>+[2]BS17A!$V1973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+[2]BS17A!$D1974</f>
        <v>0</v>
      </c>
      <c r="D275" s="24">
        <f>+[2]BS17A!$U1974</f>
        <v>641750</v>
      </c>
      <c r="E275" s="146">
        <f>+[2]BS17A!$V1974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+[2]BS17A!$D1975</f>
        <v>0</v>
      </c>
      <c r="D276" s="31">
        <f>+[2]BS17A!$U1975</f>
        <v>523710</v>
      </c>
      <c r="E276" s="198">
        <f>+[2]BS17A!$V1975</f>
        <v>0</v>
      </c>
      <c r="F276" s="8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+[2]BS17A!$D1976</f>
        <v>0</v>
      </c>
      <c r="D278" s="20">
        <f>[2]BS17A!U1976</f>
        <v>282310</v>
      </c>
      <c r="E278" s="202">
        <f>+[2]BS17A!$V1976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+[2]BS17A!$D1977</f>
        <v>0</v>
      </c>
      <c r="D279" s="24">
        <f>[2]BS17A!U1977</f>
        <v>164590</v>
      </c>
      <c r="E279" s="146">
        <f>+[2]BS17A!$V1977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+[2]BS17A!$D1978</f>
        <v>0</v>
      </c>
      <c r="D280" s="24">
        <f>[2]BS17A!U1978</f>
        <v>397700</v>
      </c>
      <c r="E280" s="146">
        <f>+[2]BS17A!$V1978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+[2]BS17A!$D1979</f>
        <v>0</v>
      </c>
      <c r="D281" s="24">
        <f>[2]BS17A!U1979</f>
        <v>412140</v>
      </c>
      <c r="E281" s="146">
        <f>+[2]BS17A!$V1979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+[2]BS17A!$D1980</f>
        <v>0</v>
      </c>
      <c r="D282" s="40">
        <f>[2]BS17A!U1980</f>
        <v>257530</v>
      </c>
      <c r="E282" s="153">
        <f>+[2]BS17A!$V1980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+[2]BS17A!$D1981</f>
        <v>100</v>
      </c>
      <c r="D283" s="207">
        <f>[2]BS17A!U1981</f>
        <v>35020</v>
      </c>
      <c r="E283" s="192">
        <f>+[2]BS17A!$V1981</f>
        <v>3502000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100</v>
      </c>
      <c r="D284" s="151"/>
      <c r="E284" s="152">
        <f>SUM(E244:E283)</f>
        <v>3502000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8"/>
    </row>
    <row r="288" spans="1:10" ht="44.25" customHeight="1" x14ac:dyDescent="0.2">
      <c r="A288" s="11" t="s">
        <v>8</v>
      </c>
      <c r="B288" s="11" t="s">
        <v>426</v>
      </c>
      <c r="C288" s="15" t="s">
        <v>347</v>
      </c>
      <c r="D288" s="13" t="s">
        <v>11</v>
      </c>
      <c r="E288" s="16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+[2]BS17A!$D1983</f>
        <v>1</v>
      </c>
      <c r="D289" s="37">
        <f>+[2]BS17A!$U1983</f>
        <v>6890</v>
      </c>
      <c r="E289" s="145">
        <f>+[2]BS17A!$V1983</f>
        <v>6890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+[2]BS17A!$D1984</f>
        <v>0</v>
      </c>
      <c r="D290" s="24">
        <f>+[2]BS17A!$U1984</f>
        <v>3670</v>
      </c>
      <c r="E290" s="146">
        <f>+[2]BS17A!$V1984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+[2]BS17A!$D1985</f>
        <v>1</v>
      </c>
      <c r="D291" s="24">
        <f>+[2]BS17A!$U1985</f>
        <v>13830</v>
      </c>
      <c r="E291" s="146">
        <f>+[2]BS17A!$V1985</f>
        <v>13830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+[2]BS17A!$D1986</f>
        <v>0</v>
      </c>
      <c r="D292" s="24">
        <f>+[2]BS17A!$U1986</f>
        <v>141790</v>
      </c>
      <c r="E292" s="146">
        <f>+[2]BS17A!$V1986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+[2]BS17A!$D1987</f>
        <v>0</v>
      </c>
      <c r="D293" s="40">
        <f>+[2]BS17A!$U1987</f>
        <v>778770</v>
      </c>
      <c r="E293" s="153">
        <f>+[2]BS17A!$V1987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2</v>
      </c>
      <c r="D294" s="57"/>
      <c r="E294" s="107">
        <f>SUM(E289:E293)</f>
        <v>20720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56" t="s">
        <v>438</v>
      </c>
      <c r="B297" s="757"/>
      <c r="C297" s="757"/>
      <c r="D297" s="757"/>
      <c r="E297" s="758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16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+[2]BS17A!$D1863</f>
        <v>219</v>
      </c>
      <c r="D299" s="37">
        <f>+[2]BS17A!$U1863</f>
        <v>18430</v>
      </c>
      <c r="E299" s="145">
        <f>+[2]BS17A!$V1863</f>
        <v>4036170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+[2]BS17A!$D1864</f>
        <v>190</v>
      </c>
      <c r="D300" s="24">
        <f>+[2]BS17A!$U1864</f>
        <v>57970</v>
      </c>
      <c r="E300" s="146">
        <f>+[2]BS17A!$V1864</f>
        <v>11014300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+[2]BS17A!$D1865</f>
        <v>0</v>
      </c>
      <c r="D301" s="24">
        <f>+[2]BS17A!$U1865</f>
        <v>71860</v>
      </c>
      <c r="E301" s="146">
        <f>+[2]BS17A!$V1865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+[2]BS17A!$D1866</f>
        <v>154</v>
      </c>
      <c r="D302" s="24">
        <f>+[2]BS17A!$U1866</f>
        <v>2520</v>
      </c>
      <c r="E302" s="146">
        <f>+[2]BS17A!$V1866</f>
        <v>388080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+[2]BS17A!$D1867</f>
        <v>0</v>
      </c>
      <c r="D303" s="24">
        <f>+[2]BS17A!$U1867</f>
        <v>70</v>
      </c>
      <c r="E303" s="146">
        <f>+[2]BS17A!$V1867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+[2]BS17A!$D1868</f>
        <v>0</v>
      </c>
      <c r="D304" s="24">
        <f>+[2]BS17A!$U1868</f>
        <v>152560</v>
      </c>
      <c r="E304" s="146">
        <f>+[2]BS17A!$V1868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+[2]BS17A!$D1869</f>
        <v>0</v>
      </c>
      <c r="D305" s="40">
        <f>+[2]BS17A!$U1869</f>
        <v>10370</v>
      </c>
      <c r="E305" s="153">
        <f>+[2]BS17A!$V1869</f>
        <v>0</v>
      </c>
      <c r="F305" s="8"/>
    </row>
    <row r="306" spans="1:7" ht="15" customHeight="1" x14ac:dyDescent="0.2">
      <c r="A306" s="96"/>
      <c r="B306" s="771" t="s">
        <v>454</v>
      </c>
      <c r="C306" s="772"/>
      <c r="D306" s="191"/>
      <c r="E306" s="220">
        <f>SUM(E299:E305)</f>
        <v>15438550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45" t="s">
        <v>455</v>
      </c>
      <c r="B309" s="746"/>
      <c r="C309" s="746"/>
      <c r="D309" s="746"/>
      <c r="E309" s="747"/>
      <c r="F309" s="178"/>
      <c r="G309" s="185"/>
    </row>
    <row r="310" spans="1:7" ht="12.75" x14ac:dyDescent="0.2">
      <c r="A310" s="221"/>
      <c r="B310" s="768" t="s">
        <v>456</v>
      </c>
      <c r="C310" s="769"/>
      <c r="D310" s="770"/>
      <c r="E310" s="222">
        <f>+E235+E240+E284+E294+E306</f>
        <v>29771570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45" t="s">
        <v>457</v>
      </c>
      <c r="B313" s="746"/>
      <c r="C313" s="746"/>
      <c r="D313" s="746"/>
      <c r="E313" s="747"/>
      <c r="F313" s="178"/>
      <c r="G313" s="185"/>
    </row>
    <row r="314" spans="1:7" ht="25.5" x14ac:dyDescent="0.2">
      <c r="A314" s="756" t="s">
        <v>458</v>
      </c>
      <c r="B314" s="757"/>
      <c r="C314" s="757"/>
      <c r="D314" s="758"/>
      <c r="E314" s="11" t="s">
        <v>12</v>
      </c>
      <c r="F314" s="178"/>
      <c r="G314" s="185"/>
    </row>
    <row r="315" spans="1:7" ht="15" customHeight="1" x14ac:dyDescent="0.2">
      <c r="A315" s="221"/>
      <c r="B315" s="768" t="s">
        <v>459</v>
      </c>
      <c r="C315" s="769"/>
      <c r="D315" s="770"/>
      <c r="E315" s="222">
        <f>+E50+E76+E84+F109+E116+C121+E148+E155+E168+E207+E221+C228+E310</f>
        <v>730965630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45" t="s">
        <v>460</v>
      </c>
      <c r="B318" s="746"/>
      <c r="C318" s="747"/>
      <c r="D318" s="8"/>
      <c r="E318" s="8"/>
      <c r="F318" s="5"/>
    </row>
    <row r="319" spans="1:7" ht="18" customHeight="1" x14ac:dyDescent="0.2">
      <c r="A319" s="756" t="s">
        <v>461</v>
      </c>
      <c r="B319" s="757"/>
      <c r="C319" s="758"/>
      <c r="D319" s="8"/>
      <c r="E319" s="8"/>
      <c r="F319" s="5"/>
    </row>
    <row r="320" spans="1:7" ht="30.75" customHeight="1" x14ac:dyDescent="0.2">
      <c r="A320" s="745" t="s">
        <v>462</v>
      </c>
      <c r="B320" s="746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3565268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64657132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68222400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74" t="str">
        <f>[2]NOMBRE!B12</f>
        <v>SRA. MARIA INES NUÑEZ GONZALEZ</v>
      </c>
      <c r="F338" s="774"/>
    </row>
    <row r="339" spans="1:6" ht="12.75" x14ac:dyDescent="0.2">
      <c r="A339" s="186"/>
      <c r="B339" s="186"/>
      <c r="C339" s="186"/>
      <c r="D339" s="188"/>
      <c r="E339" s="773" t="str">
        <f>[2]NOMBRE!A12</f>
        <v>Jefe de Estadisticas</v>
      </c>
      <c r="F339" s="773"/>
    </row>
    <row r="340" spans="1:6" ht="12.75" x14ac:dyDescent="0.2">
      <c r="A340" s="186"/>
      <c r="B340" s="186"/>
      <c r="C340" s="186"/>
      <c r="D340" s="186"/>
      <c r="E340" s="23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74" t="str">
        <f>[2]NOMBRE!B11</f>
        <v xml:space="preserve">DR. FRANCISCO MARTINEZ CAVALLA </v>
      </c>
      <c r="F347" s="774"/>
    </row>
    <row r="348" spans="1:6" ht="22.5" customHeight="1" x14ac:dyDescent="0.2">
      <c r="A348" s="186"/>
      <c r="B348" s="186"/>
      <c r="C348" s="186"/>
      <c r="D348" s="215"/>
      <c r="E348" s="773" t="str">
        <f>CONCATENATE("Director ",[2]NOMBRE!B1)</f>
        <v xml:space="preserve">Director </v>
      </c>
      <c r="F348" s="773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E348:F348"/>
    <mergeCell ref="A318:C318"/>
    <mergeCell ref="A319:C319"/>
    <mergeCell ref="A320:B320"/>
    <mergeCell ref="E338:F338"/>
    <mergeCell ref="E339:F339"/>
    <mergeCell ref="E347:F347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G20" sqref="G20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42" t="s">
        <v>1</v>
      </c>
      <c r="D1" s="743"/>
      <c r="E1" s="744"/>
      <c r="F1" s="3"/>
    </row>
    <row r="2" spans="1:7" ht="12.75" x14ac:dyDescent="0.2">
      <c r="A2" s="1" t="str">
        <f>CONCATENATE("COMUNA: ",[3]NOMBRE!B2," - ","( ",[3]NOMBRE!C2,[3]NOMBRE!D2,[3]NOMBRE!E2,[3]NOMBRE!F2,[3]NOMBRE!G2," )")</f>
        <v>COMUNA: LINARES - ( 07401 )</v>
      </c>
      <c r="B2" s="2"/>
      <c r="C2" s="739"/>
      <c r="D2" s="740"/>
      <c r="E2" s="741"/>
      <c r="F2" s="5"/>
      <c r="G2" s="6"/>
    </row>
    <row r="3" spans="1:7" ht="12.75" x14ac:dyDescent="0.2">
      <c r="A3" s="1" t="str">
        <f>CONCATENATE("ESTABLECIMIENTO/ESTRATEGIA: ",[3]NOMBRE!B3," - ","( ",[3]NOMBRE!C3,[3]NOMBRE!D3,[3]NOMBRE!E3,[3]NOMBRE!F3,[3]NOMBRE!G3,[3]NOMBRE!H3," )")</f>
        <v>ESTABLECIMIENTO/ESTRATEGIA: HOSPITAL DE LINARES  - ( 118108 )</v>
      </c>
      <c r="B3" s="2"/>
      <c r="C3" s="742" t="s">
        <v>2</v>
      </c>
      <c r="D3" s="743"/>
      <c r="E3" s="744"/>
      <c r="F3" s="5"/>
      <c r="G3" s="7"/>
    </row>
    <row r="4" spans="1:7" ht="12.75" x14ac:dyDescent="0.2">
      <c r="A4" s="1" t="str">
        <f>CONCATENATE("MES: ",[3]NOMBRE!B6," - ","( ",[3]NOMBRE!C6,[3]NOMBRE!D6," )")</f>
        <v>MES: FEBRERO - ( 02 )</v>
      </c>
      <c r="B4" s="2"/>
      <c r="C4" s="739" t="str">
        <f>CONCATENATE([3]NOMBRE!B6," ","( ",[3]NOMBRE!C6,[3]NOMBRE!D6," )")</f>
        <v>FEBRERO ( 02 )</v>
      </c>
      <c r="D4" s="740"/>
      <c r="E4" s="741"/>
      <c r="F4" s="5"/>
      <c r="G4" s="7"/>
    </row>
    <row r="5" spans="1:7" ht="12.75" x14ac:dyDescent="0.2">
      <c r="A5" s="1" t="str">
        <f>CONCATENATE("AÑO: ",[3]NOMBRE!B7)</f>
        <v>AÑO: 2015</v>
      </c>
      <c r="B5" s="2"/>
      <c r="C5" s="742" t="s">
        <v>3</v>
      </c>
      <c r="D5" s="743"/>
      <c r="E5" s="744"/>
      <c r="F5" s="5"/>
      <c r="G5" s="7"/>
    </row>
    <row r="6" spans="1:7" ht="12.75" x14ac:dyDescent="0.2">
      <c r="A6" s="8"/>
      <c r="B6" s="8"/>
      <c r="C6" s="739">
        <f>[3]NOMBRE!B7</f>
        <v>2015</v>
      </c>
      <c r="D6" s="740"/>
      <c r="E6" s="741"/>
      <c r="F6" s="5"/>
      <c r="G6" s="7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5"/>
      <c r="G7" s="7"/>
    </row>
    <row r="8" spans="1:7" ht="15" x14ac:dyDescent="0.2">
      <c r="A8" s="8"/>
      <c r="B8" s="9" t="s">
        <v>6</v>
      </c>
      <c r="C8" s="739" t="str">
        <f>CONCATENATE([3]NOMBRE!B3," ","( ",[3]NOMBRE!C3,[3]NOMBRE!D3,[3]NOMBRE!E3,[3]NOMBRE!F3,[3]NOMBRE!G3," )")</f>
        <v>HOSPITAL DE LINARES  ( 11810 )</v>
      </c>
      <c r="D8" s="740"/>
      <c r="E8" s="741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53" t="s">
        <v>7</v>
      </c>
      <c r="B11" s="754"/>
      <c r="C11" s="754"/>
      <c r="D11" s="754"/>
      <c r="E11" s="755"/>
      <c r="F11" s="5"/>
    </row>
    <row r="12" spans="1:7" ht="43.5" customHeight="1" x14ac:dyDescent="0.2">
      <c r="A12" s="11" t="s">
        <v>8</v>
      </c>
      <c r="B12" s="11" t="s">
        <v>9</v>
      </c>
      <c r="C12" s="15" t="s">
        <v>10</v>
      </c>
      <c r="D12" s="13" t="s">
        <v>11</v>
      </c>
      <c r="E12" s="16" t="s">
        <v>12</v>
      </c>
      <c r="F12" s="8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8"/>
    </row>
    <row r="14" spans="1:7" ht="15" customHeight="1" x14ac:dyDescent="0.2">
      <c r="A14" s="17" t="s">
        <v>14</v>
      </c>
      <c r="B14" s="18" t="s">
        <v>15</v>
      </c>
      <c r="C14" s="19">
        <f>[3]BS17A!$D13</f>
        <v>0</v>
      </c>
      <c r="D14" s="20">
        <f>[3]BS17A!$U13</f>
        <v>4170</v>
      </c>
      <c r="E14" s="21">
        <f>[3]BS17A!$V13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[3]BS17A!$D14</f>
        <v>0</v>
      </c>
      <c r="D15" s="24">
        <f>[3]BS17A!$U14</f>
        <v>5240</v>
      </c>
      <c r="E15" s="25">
        <f>[3]BS17A!$V14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[3]BS17A!$D15</f>
        <v>5635</v>
      </c>
      <c r="D16" s="24">
        <f>[3]BS17A!$U15</f>
        <v>11250</v>
      </c>
      <c r="E16" s="25">
        <f>[3]BS17A!$V15</f>
        <v>63393750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[3]BS17A!$D16</f>
        <v>0</v>
      </c>
      <c r="D17" s="24">
        <f>[3]BS17A!$U16</f>
        <v>6720</v>
      </c>
      <c r="E17" s="25">
        <f>[3]BS17A!$V16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[3]BS17A!$D17</f>
        <v>0</v>
      </c>
      <c r="D18" s="24">
        <f>[3]BS17A!$U17</f>
        <v>7370</v>
      </c>
      <c r="E18" s="25">
        <f>[3]BS17A!$V17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[3]BS17A!$D20</f>
        <v>0</v>
      </c>
      <c r="D19" s="24">
        <f>[3]BS17A!$U20</f>
        <v>5690</v>
      </c>
      <c r="E19" s="25">
        <f>[3]BS17A!$V20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[3]BS17A!$D21</f>
        <v>0</v>
      </c>
      <c r="D20" s="24">
        <f>[3]BS17A!$U21</f>
        <v>6820</v>
      </c>
      <c r="E20" s="25">
        <f>[3]BS17A!$V21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[3]BS17A!$D22</f>
        <v>0</v>
      </c>
      <c r="D21" s="24">
        <f>[3]BS17A!$U22</f>
        <v>8460</v>
      </c>
      <c r="E21" s="25">
        <f>[3]BS17A!$V22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[3]BS17A!$D23</f>
        <v>1505</v>
      </c>
      <c r="D22" s="24">
        <f>[3]BS17A!$U23</f>
        <v>5690</v>
      </c>
      <c r="E22" s="25">
        <f>[3]BS17A!$V23</f>
        <v>8563450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[3]BS17A!$D24</f>
        <v>939</v>
      </c>
      <c r="D23" s="24">
        <f>[3]BS17A!$U24</f>
        <v>6820</v>
      </c>
      <c r="E23" s="25">
        <f>[3]BS17A!$V24</f>
        <v>6403980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[3]BS17A!$D25</f>
        <v>2029</v>
      </c>
      <c r="D24" s="24">
        <f>[3]BS17A!$U25</f>
        <v>8460</v>
      </c>
      <c r="E24" s="25">
        <f>[3]BS17A!$V25</f>
        <v>17165340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+[3]BS17A!$D795</f>
        <v>179</v>
      </c>
      <c r="D25" s="24">
        <f>+[3]BS17A!$U795</f>
        <v>6900</v>
      </c>
      <c r="E25" s="25">
        <f>+[3]BS17A!$V795</f>
        <v>1235100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+[3]BS17A!$D800</f>
        <v>0</v>
      </c>
      <c r="D26" s="31">
        <f>+[3]BS17A!$U800</f>
        <v>28580</v>
      </c>
      <c r="E26" s="32">
        <f>+[3]BS17A!$V800</f>
        <v>0</v>
      </c>
      <c r="F26" s="8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8"/>
    </row>
    <row r="28" spans="1:6" ht="15" customHeight="1" x14ac:dyDescent="0.2">
      <c r="A28" s="17" t="s">
        <v>41</v>
      </c>
      <c r="B28" s="18" t="s">
        <v>42</v>
      </c>
      <c r="C28" s="33">
        <f>[3]BS17A!$D27</f>
        <v>1518</v>
      </c>
      <c r="D28" s="20">
        <f>[3]BS17A!$U27</f>
        <v>1110</v>
      </c>
      <c r="E28" s="21">
        <f>[3]BS17A!$V27</f>
        <v>1684980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[3]BS17A!$D28</f>
        <v>0</v>
      </c>
      <c r="D29" s="24">
        <f>[3]BS17A!$U28</f>
        <v>1900</v>
      </c>
      <c r="E29" s="25">
        <f>[3]BS17A!$V28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[3]BS17A!$D29</f>
        <v>0</v>
      </c>
      <c r="D30" s="24">
        <f>[3]BS17A!$U29</f>
        <v>610</v>
      </c>
      <c r="E30" s="25">
        <f>[3]BS17A!$V29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[3]BS17A!$D30</f>
        <v>65</v>
      </c>
      <c r="D31" s="24">
        <f>[3]BS17A!$U30</f>
        <v>1500</v>
      </c>
      <c r="E31" s="25">
        <f>[3]BS17A!$V30</f>
        <v>97500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[3]BS17A!$D31</f>
        <v>1149</v>
      </c>
      <c r="D32" s="24">
        <f>[3]BS17A!$U31</f>
        <v>1210</v>
      </c>
      <c r="E32" s="25">
        <f>[3]BS17A!$V31</f>
        <v>1390290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[3]BS17A!$D32</f>
        <v>0</v>
      </c>
      <c r="D33" s="24">
        <f>[3]BS17A!$U32</f>
        <v>1110</v>
      </c>
      <c r="E33" s="25">
        <f>[3]BS17A!$V32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+[3]BS17A!$D796</f>
        <v>185</v>
      </c>
      <c r="D34" s="24">
        <f>+[3]BS17A!$U796</f>
        <v>2700</v>
      </c>
      <c r="E34" s="25">
        <f>+[3]BS17A!$V796</f>
        <v>499500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+[3]BS17A!$D797</f>
        <v>191</v>
      </c>
      <c r="D35" s="24">
        <f>+[3]BS17A!$U797</f>
        <v>2700</v>
      </c>
      <c r="E35" s="25">
        <f>+[3]BS17A!$V797</f>
        <v>515700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+[3]BS17A!$D798</f>
        <v>3</v>
      </c>
      <c r="D36" s="24">
        <f>+[3]BS17A!$U798</f>
        <v>10760</v>
      </c>
      <c r="E36" s="25">
        <f>+[3]BS17A!$V798</f>
        <v>32280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+[3]BS17A!$D799</f>
        <v>27</v>
      </c>
      <c r="D37" s="31">
        <f>+[3]BS17A!$U799</f>
        <v>12600</v>
      </c>
      <c r="E37" s="32">
        <f>+[3]BS17A!$V799</f>
        <v>340200</v>
      </c>
      <c r="F37" s="8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8"/>
    </row>
    <row r="39" spans="1:6" ht="15" customHeight="1" x14ac:dyDescent="0.2">
      <c r="A39" s="17" t="s">
        <v>62</v>
      </c>
      <c r="B39" s="36" t="s">
        <v>63</v>
      </c>
      <c r="C39" s="33">
        <f>+[3]BS17A!$D801</f>
        <v>0</v>
      </c>
      <c r="D39" s="37">
        <f>+[3]BS17A!$U801</f>
        <v>3550</v>
      </c>
      <c r="E39" s="38">
        <f>+[3]BS17A!$V801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+[3]BS17A!$D802</f>
        <v>0</v>
      </c>
      <c r="D40" s="40">
        <f>+[3]BS17A!$U802</f>
        <v>9180</v>
      </c>
      <c r="E40" s="41">
        <f>+[3]BS17A!$V802</f>
        <v>0</v>
      </c>
      <c r="F40" s="8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8"/>
    </row>
    <row r="42" spans="1:6" ht="15" customHeight="1" x14ac:dyDescent="0.2">
      <c r="A42" s="17" t="s">
        <v>67</v>
      </c>
      <c r="B42" s="42" t="s">
        <v>68</v>
      </c>
      <c r="C42" s="33">
        <f>+[3]BS17A!$D34</f>
        <v>77</v>
      </c>
      <c r="D42" s="37">
        <f>+[3]BS17A!$U34</f>
        <v>3640</v>
      </c>
      <c r="E42" s="38">
        <f>+[3]BS17A!$V34</f>
        <v>280280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+[3]BS17A!$D35</f>
        <v>713</v>
      </c>
      <c r="D43" s="24">
        <f>+[3]BS17A!$U35</f>
        <v>2000</v>
      </c>
      <c r="E43" s="25">
        <f>+[3]BS17A!$V35</f>
        <v>1426000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+[3]BS17A!$D36</f>
        <v>0</v>
      </c>
      <c r="D44" s="24">
        <f>+[3]BS17A!$U36</f>
        <v>2000</v>
      </c>
      <c r="E44" s="25">
        <f>+[3]BS17A!$V36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+[3]BS17A!$D37</f>
        <v>573</v>
      </c>
      <c r="D45" s="40">
        <f>+[3]BS17A!$U37</f>
        <v>610</v>
      </c>
      <c r="E45" s="41">
        <f>+[3]BS17A!$V37</f>
        <v>349530</v>
      </c>
      <c r="F45" s="8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8"/>
    </row>
    <row r="47" spans="1:6" ht="15" customHeight="1" x14ac:dyDescent="0.2">
      <c r="A47" s="17" t="s">
        <v>76</v>
      </c>
      <c r="B47" s="42" t="s">
        <v>77</v>
      </c>
      <c r="C47" s="33">
        <f>+[3]BS17A!$D39</f>
        <v>16</v>
      </c>
      <c r="D47" s="37">
        <f>+[3]BS17A!$U39</f>
        <v>1730</v>
      </c>
      <c r="E47" s="38">
        <f>+[3]BS17A!$V39</f>
        <v>27680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+[3]BS17A!$D40</f>
        <v>25</v>
      </c>
      <c r="D48" s="24">
        <f>+[3]BS17A!$U40</f>
        <v>1730</v>
      </c>
      <c r="E48" s="25">
        <f>+[3]BS17A!$V40</f>
        <v>43250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+[3]BS17A!$D41</f>
        <v>0</v>
      </c>
      <c r="D49" s="40">
        <f>+[3]BS17A!$U41</f>
        <v>1000</v>
      </c>
      <c r="E49" s="41">
        <f>+[3]BS17A!$V41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14829</v>
      </c>
      <c r="D50" s="46"/>
      <c r="E50" s="47">
        <f>SUM(E14:E49)</f>
        <v>103448810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9" t="s">
        <v>83</v>
      </c>
      <c r="B53" s="760"/>
      <c r="C53" s="760"/>
      <c r="D53" s="760"/>
      <c r="E53" s="761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15" t="s">
        <v>10</v>
      </c>
      <c r="D54" s="53"/>
      <c r="E54" s="16" t="s">
        <v>12</v>
      </c>
      <c r="F54" s="8"/>
    </row>
    <row r="55" spans="1:7" ht="18" customHeight="1" x14ac:dyDescent="0.2">
      <c r="A55" s="141" t="s">
        <v>85</v>
      </c>
      <c r="B55" s="55" t="s">
        <v>86</v>
      </c>
      <c r="C55" s="56">
        <f>+[3]BS17!$D12</f>
        <v>54512</v>
      </c>
      <c r="D55" s="57"/>
      <c r="E55" s="58">
        <f>+E56+E57+E58+E59+E60+E61+E65+E66+E67</f>
        <v>74547900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+[3]BS17!$D13</f>
        <v>22681</v>
      </c>
      <c r="D56" s="61"/>
      <c r="E56" s="62">
        <f>+[3]BS17A!V83</f>
        <v>23620100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+[3]BS17!$D14</f>
        <v>22735</v>
      </c>
      <c r="D57" s="63"/>
      <c r="E57" s="64">
        <f>+[3]BS17A!V174</f>
        <v>26878300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+[3]BS17!$D15</f>
        <v>801</v>
      </c>
      <c r="D58" s="63"/>
      <c r="E58" s="64">
        <f>+[3]BS17A!V243</f>
        <v>2778750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+[3]BS17!$D16</f>
        <v>0</v>
      </c>
      <c r="D59" s="63"/>
      <c r="E59" s="64">
        <f>+[3]BS17A!V289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+[3]BS17!$D17</f>
        <v>1483</v>
      </c>
      <c r="D60" s="67"/>
      <c r="E60" s="68">
        <f>+[3]BS17A!V295</f>
        <v>6990130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+[3]BS17!$D18</f>
        <v>4016</v>
      </c>
      <c r="D61" s="71"/>
      <c r="E61" s="72">
        <f>SUM(E62:E64)</f>
        <v>10657340</v>
      </c>
      <c r="F61" s="8"/>
    </row>
    <row r="62" spans="1:7" ht="15" customHeight="1" x14ac:dyDescent="0.2">
      <c r="A62" s="73"/>
      <c r="B62" s="42" t="s">
        <v>99</v>
      </c>
      <c r="C62" s="33">
        <f>+[3]BS17!$D19</f>
        <v>3392</v>
      </c>
      <c r="D62" s="74"/>
      <c r="E62" s="75">
        <f>+[3]BS17A!V362</f>
        <v>8126080</v>
      </c>
      <c r="F62" s="8"/>
    </row>
    <row r="63" spans="1:7" ht="15" customHeight="1" x14ac:dyDescent="0.2">
      <c r="A63" s="73"/>
      <c r="B63" s="27" t="s">
        <v>100</v>
      </c>
      <c r="C63" s="19">
        <f>+[3]BS17!$D20</f>
        <v>29</v>
      </c>
      <c r="D63" s="63"/>
      <c r="E63" s="64">
        <f>+[3]BS17A!V405</f>
        <v>81900</v>
      </c>
      <c r="F63" s="8"/>
    </row>
    <row r="64" spans="1:7" ht="15" customHeight="1" x14ac:dyDescent="0.2">
      <c r="A64" s="76"/>
      <c r="B64" s="43" t="s">
        <v>101</v>
      </c>
      <c r="C64" s="30">
        <f>+[3]BS17!$D21</f>
        <v>595</v>
      </c>
      <c r="D64" s="77"/>
      <c r="E64" s="78">
        <f>+[3]BS17A!V428</f>
        <v>2449360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+[3]BS17!$D22</f>
        <v>9</v>
      </c>
      <c r="D65" s="61"/>
      <c r="E65" s="62">
        <f>+[3]BS17A!V446</f>
        <v>92250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+[3]BS17!$D23</f>
        <v>71</v>
      </c>
      <c r="D66" s="63"/>
      <c r="E66" s="64">
        <f>+[3]BS17A!V456</f>
        <v>131450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+[3]BS17!$D24</f>
        <v>2716</v>
      </c>
      <c r="D67" s="67"/>
      <c r="E67" s="68">
        <f>+[3]BS17A!V500</f>
        <v>3399580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+[3]BS17!$D25</f>
        <v>3962</v>
      </c>
      <c r="D68" s="83"/>
      <c r="E68" s="84">
        <f>SUM(E69:E74)</f>
        <v>65217850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+[3]BS17!$D26</f>
        <v>2373</v>
      </c>
      <c r="D69" s="63"/>
      <c r="E69" s="64">
        <f>+[3]BS17A!V535</f>
        <v>18181630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+[3]BS17!$D27</f>
        <v>0</v>
      </c>
      <c r="D70" s="63"/>
      <c r="E70" s="64">
        <f>+[3]BS17A!V590</f>
        <v>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+[3]BS17!$D28</f>
        <v>724</v>
      </c>
      <c r="D71" s="63"/>
      <c r="E71" s="64">
        <f>+[3]BS17A!V615</f>
        <v>36897230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+[3]BS17!$D30+[3]BS17!$D32</f>
        <v>662</v>
      </c>
      <c r="D72" s="63"/>
      <c r="E72" s="64">
        <f>+[3]BS17A!V633-[3]BS17A!V634</f>
        <v>9105720</v>
      </c>
      <c r="F72" s="8"/>
    </row>
    <row r="73" spans="1:7" ht="15" customHeight="1" x14ac:dyDescent="0.2">
      <c r="A73" s="85"/>
      <c r="B73" s="27" t="s">
        <v>118</v>
      </c>
      <c r="C73" s="19">
        <f>+[3]BS17!$D31</f>
        <v>203</v>
      </c>
      <c r="D73" s="63"/>
      <c r="E73" s="64">
        <f>+[3]BS17A!V634</f>
        <v>1033270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+[3]BS17!$D33</f>
        <v>0</v>
      </c>
      <c r="D74" s="89"/>
      <c r="E74" s="90">
        <f>+[3]BS17A!V654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+[3]BS17!$D34</f>
        <v>0</v>
      </c>
      <c r="D75" s="94"/>
      <c r="E75" s="95">
        <f>+[3]BS17A!V783</f>
        <v>0</v>
      </c>
      <c r="F75" s="8"/>
    </row>
    <row r="76" spans="1:7" ht="15" customHeight="1" x14ac:dyDescent="0.2">
      <c r="A76" s="96"/>
      <c r="B76" s="219" t="s">
        <v>123</v>
      </c>
      <c r="C76" s="56">
        <f>+C55+C68+C75</f>
        <v>58474</v>
      </c>
      <c r="D76" s="57"/>
      <c r="E76" s="98">
        <f>+E55+E68+E75</f>
        <v>139765750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53" t="s">
        <v>124</v>
      </c>
      <c r="B79" s="754"/>
      <c r="C79" s="754"/>
      <c r="D79" s="754"/>
      <c r="E79" s="755"/>
      <c r="F79" s="51"/>
      <c r="G79" s="52"/>
    </row>
    <row r="80" spans="1:7" ht="45" customHeight="1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+[3]BS17!D49</f>
        <v>0</v>
      </c>
      <c r="D81" s="61"/>
      <c r="E81" s="103">
        <f>+SUM([3]BS17A!V673+[3]BS17A!V719)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+[3]BS17!E130</f>
        <v>1609</v>
      </c>
      <c r="D82" s="63"/>
      <c r="E82" s="105">
        <f>+[3]BS17A!V1574</f>
        <v>13039320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+[3]BS17A!D1849</f>
        <v>37</v>
      </c>
      <c r="D83" s="67"/>
      <c r="E83" s="106">
        <f>+[3]BS17A!V1849</f>
        <v>2476420</v>
      </c>
      <c r="F83" s="8"/>
    </row>
    <row r="84" spans="1:6" ht="17.25" customHeight="1" x14ac:dyDescent="0.2">
      <c r="A84" s="96"/>
      <c r="B84" s="219" t="s">
        <v>130</v>
      </c>
      <c r="C84" s="56">
        <f>+SUM(C81:C83)</f>
        <v>1646</v>
      </c>
      <c r="D84" s="57"/>
      <c r="E84" s="107">
        <f>SUM(E81:E83)</f>
        <v>15515740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99" t="s">
        <v>132</v>
      </c>
      <c r="D89" s="108" t="s">
        <v>133</v>
      </c>
      <c r="E89" s="13" t="s">
        <v>134</v>
      </c>
      <c r="F89" s="16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+[3]BS17!F68</f>
        <v>0</v>
      </c>
      <c r="D90" s="110">
        <f>+[3]BS17!G68</f>
        <v>0</v>
      </c>
      <c r="E90" s="111">
        <f>+[3]BS17!H68</f>
        <v>0</v>
      </c>
      <c r="F90" s="112">
        <f>[3]BS17A!V811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+[3]BS17!F69</f>
        <v>105</v>
      </c>
      <c r="D91" s="114">
        <f>+[3]BS17!G69</f>
        <v>2</v>
      </c>
      <c r="E91" s="115">
        <f>+[3]BS17!H69</f>
        <v>0</v>
      </c>
      <c r="F91" s="116">
        <f>[3]BS17A!V882</f>
        <v>22251205</v>
      </c>
    </row>
    <row r="92" spans="1:6" ht="15" customHeight="1" x14ac:dyDescent="0.2">
      <c r="A92" s="22" t="s">
        <v>139</v>
      </c>
      <c r="B92" s="27" t="s">
        <v>140</v>
      </c>
      <c r="C92" s="113">
        <f>+[3]BS17!F70</f>
        <v>20</v>
      </c>
      <c r="D92" s="114">
        <f>+[3]BS17!G70</f>
        <v>1</v>
      </c>
      <c r="E92" s="115">
        <f>+[3]BS17!H70</f>
        <v>0</v>
      </c>
      <c r="F92" s="116">
        <f>[3]BS17A!V961</f>
        <v>2324060</v>
      </c>
    </row>
    <row r="93" spans="1:6" ht="15" customHeight="1" x14ac:dyDescent="0.2">
      <c r="A93" s="22" t="s">
        <v>141</v>
      </c>
      <c r="B93" s="27" t="s">
        <v>142</v>
      </c>
      <c r="C93" s="113">
        <f>+[3]BS17!F71</f>
        <v>2</v>
      </c>
      <c r="D93" s="114">
        <f>+[3]BS17!G71</f>
        <v>0</v>
      </c>
      <c r="E93" s="115">
        <f>+[3]BS17!H71</f>
        <v>0</v>
      </c>
      <c r="F93" s="116">
        <f>[3]BS17A!V1037</f>
        <v>293860</v>
      </c>
    </row>
    <row r="94" spans="1:6" ht="15" customHeight="1" x14ac:dyDescent="0.2">
      <c r="A94" s="22" t="s">
        <v>143</v>
      </c>
      <c r="B94" s="27" t="s">
        <v>144</v>
      </c>
      <c r="C94" s="113">
        <f>+[3]BS17!F72</f>
        <v>48</v>
      </c>
      <c r="D94" s="114">
        <f>+[3]BS17!G72</f>
        <v>1</v>
      </c>
      <c r="E94" s="115">
        <f>+[3]BS17!H72</f>
        <v>0</v>
      </c>
      <c r="F94" s="116">
        <f>[3]BS17A!V1098</f>
        <v>2236530</v>
      </c>
    </row>
    <row r="95" spans="1:6" ht="15" customHeight="1" x14ac:dyDescent="0.2">
      <c r="A95" s="22" t="s">
        <v>145</v>
      </c>
      <c r="B95" s="27" t="s">
        <v>146</v>
      </c>
      <c r="C95" s="113">
        <f>+[3]BS17!F73</f>
        <v>100</v>
      </c>
      <c r="D95" s="114">
        <f>+[3]BS17!G73</f>
        <v>2</v>
      </c>
      <c r="E95" s="115">
        <f>+[3]BS17!H73</f>
        <v>0</v>
      </c>
      <c r="F95" s="116">
        <f>[3]BS17A!V1166</f>
        <v>2074655</v>
      </c>
    </row>
    <row r="96" spans="1:6" ht="15" customHeight="1" x14ac:dyDescent="0.2">
      <c r="A96" s="22" t="s">
        <v>147</v>
      </c>
      <c r="B96" s="27" t="s">
        <v>148</v>
      </c>
      <c r="C96" s="113">
        <f>+[3]BS17!F74</f>
        <v>1</v>
      </c>
      <c r="D96" s="114">
        <f>+[3]BS17!G74</f>
        <v>1</v>
      </c>
      <c r="E96" s="115">
        <f>+[3]BS17!H74</f>
        <v>0</v>
      </c>
      <c r="F96" s="116">
        <f>[3]BS17A!V1221</f>
        <v>484265</v>
      </c>
    </row>
    <row r="97" spans="1:6" ht="15" customHeight="1" x14ac:dyDescent="0.2">
      <c r="A97" s="22" t="s">
        <v>149</v>
      </c>
      <c r="B97" s="27" t="s">
        <v>150</v>
      </c>
      <c r="C97" s="113">
        <f>+[3]BS17!F75</f>
        <v>0</v>
      </c>
      <c r="D97" s="114">
        <f>+[3]BS17!G75</f>
        <v>2</v>
      </c>
      <c r="E97" s="115">
        <f>+[3]BS17!H75</f>
        <v>0</v>
      </c>
      <c r="F97" s="116">
        <f>[3]BS17A!V1287</f>
        <v>52610</v>
      </c>
    </row>
    <row r="98" spans="1:6" ht="15" customHeight="1" x14ac:dyDescent="0.2">
      <c r="A98" s="22" t="s">
        <v>151</v>
      </c>
      <c r="B98" s="27" t="s">
        <v>152</v>
      </c>
      <c r="C98" s="113">
        <f>+[3]BS17!F76</f>
        <v>136</v>
      </c>
      <c r="D98" s="114">
        <f>+[3]BS17!G76</f>
        <v>16</v>
      </c>
      <c r="E98" s="115">
        <f>+[3]BS17!H76</f>
        <v>0</v>
      </c>
      <c r="F98" s="116">
        <f>[3]BS17A!V1357</f>
        <v>32030275</v>
      </c>
    </row>
    <row r="99" spans="1:6" ht="15" customHeight="1" x14ac:dyDescent="0.2">
      <c r="A99" s="22" t="s">
        <v>153</v>
      </c>
      <c r="B99" s="27" t="s">
        <v>154</v>
      </c>
      <c r="C99" s="113">
        <f>+[3]BS17!F77</f>
        <v>3</v>
      </c>
      <c r="D99" s="114">
        <f>+[3]BS17!G77</f>
        <v>0</v>
      </c>
      <c r="E99" s="115">
        <f>+[3]BS17!H77</f>
        <v>0</v>
      </c>
      <c r="F99" s="116">
        <f>[3]BS17A!V1441</f>
        <v>63990</v>
      </c>
    </row>
    <row r="100" spans="1:6" ht="15" customHeight="1" x14ac:dyDescent="0.2">
      <c r="A100" s="22" t="s">
        <v>155</v>
      </c>
      <c r="B100" s="27" t="s">
        <v>156</v>
      </c>
      <c r="C100" s="113">
        <f>+[3]BS17!F78</f>
        <v>14</v>
      </c>
      <c r="D100" s="114">
        <f>+[3]BS17!G78</f>
        <v>4</v>
      </c>
      <c r="E100" s="115">
        <f>+[3]BS17!H78</f>
        <v>0</v>
      </c>
      <c r="F100" s="116">
        <f>[3]BS17A!V1489</f>
        <v>3392925</v>
      </c>
    </row>
    <row r="101" spans="1:6" ht="15" customHeight="1" x14ac:dyDescent="0.2">
      <c r="A101" s="22" t="s">
        <v>157</v>
      </c>
      <c r="B101" s="27" t="s">
        <v>158</v>
      </c>
      <c r="C101" s="113">
        <f>+[3]BS17!F79</f>
        <v>1</v>
      </c>
      <c r="D101" s="114">
        <f>+[3]BS17!G79</f>
        <v>0</v>
      </c>
      <c r="E101" s="115">
        <f>+[3]BS17!H79</f>
        <v>0</v>
      </c>
      <c r="F101" s="116">
        <f>[3]BS17A!V1592</f>
        <v>178230</v>
      </c>
    </row>
    <row r="102" spans="1:6" ht="15" customHeight="1" x14ac:dyDescent="0.2">
      <c r="A102" s="65" t="s">
        <v>159</v>
      </c>
      <c r="B102" s="29" t="s">
        <v>160</v>
      </c>
      <c r="C102" s="117">
        <f>+[3]BS17!F80</f>
        <v>22</v>
      </c>
      <c r="D102" s="118">
        <f>+[3]BS17!G80</f>
        <v>2</v>
      </c>
      <c r="E102" s="119">
        <f>+[3]BS17!H80</f>
        <v>0</v>
      </c>
      <c r="F102" s="120">
        <f>[3]BS17A!V1597</f>
        <v>4226285</v>
      </c>
    </row>
    <row r="103" spans="1:6" ht="15" customHeight="1" x14ac:dyDescent="0.2">
      <c r="A103" s="17" t="s">
        <v>161</v>
      </c>
      <c r="B103" s="36" t="s">
        <v>162</v>
      </c>
      <c r="C103" s="109">
        <f>+[3]BS17!F81</f>
        <v>76</v>
      </c>
      <c r="D103" s="110">
        <f>+[3]BS17!G81</f>
        <v>0</v>
      </c>
      <c r="E103" s="111">
        <f>+[3]BS17!H81</f>
        <v>0</v>
      </c>
      <c r="F103" s="112">
        <f>+[3]BS17A!V1631</f>
        <v>9044680</v>
      </c>
    </row>
    <row r="104" spans="1:6" ht="15" customHeight="1" x14ac:dyDescent="0.2">
      <c r="A104" s="22"/>
      <c r="B104" s="27" t="s">
        <v>163</v>
      </c>
      <c r="C104" s="113">
        <f>+[3]BS17A!D1635</f>
        <v>0</v>
      </c>
      <c r="D104" s="114">
        <f>+[3]BS17A!F1635</f>
        <v>0</v>
      </c>
      <c r="E104" s="115">
        <f>+[3]BS17A!G1635</f>
        <v>0</v>
      </c>
      <c r="F104" s="116">
        <f>+[3]BS17A!V1635</f>
        <v>0</v>
      </c>
    </row>
    <row r="105" spans="1:6" ht="15" customHeight="1" x14ac:dyDescent="0.2">
      <c r="A105" s="22"/>
      <c r="B105" s="27" t="s">
        <v>164</v>
      </c>
      <c r="C105" s="113">
        <f>+[3]BS17A!D1634</f>
        <v>52</v>
      </c>
      <c r="D105" s="114">
        <f>+[3]BS17A!F1634</f>
        <v>0</v>
      </c>
      <c r="E105" s="115">
        <f>+[3]BS17A!G1634</f>
        <v>0</v>
      </c>
      <c r="F105" s="116">
        <f>+[3]BS17A!V1634</f>
        <v>6705400</v>
      </c>
    </row>
    <row r="106" spans="1:6" ht="15" customHeight="1" x14ac:dyDescent="0.2">
      <c r="A106" s="28"/>
      <c r="B106" s="39" t="s">
        <v>165</v>
      </c>
      <c r="C106" s="121">
        <f>+[3]BS17A!D1632+[3]BS17A!D1633</f>
        <v>24</v>
      </c>
      <c r="D106" s="122">
        <f>+[3]BS17A!F1632+[3]BS17A!F1633</f>
        <v>0</v>
      </c>
      <c r="E106" s="123">
        <f>+[3]BS17A!G1632+[3]BS17A!G1633</f>
        <v>0</v>
      </c>
      <c r="F106" s="124">
        <f>+[3]BS17A!V1632+[3]BS17A!V1633</f>
        <v>2339280</v>
      </c>
    </row>
    <row r="107" spans="1:6" ht="15" customHeight="1" x14ac:dyDescent="0.2">
      <c r="A107" s="59" t="s">
        <v>166</v>
      </c>
      <c r="B107" s="79" t="s">
        <v>167</v>
      </c>
      <c r="C107" s="125">
        <f>+[3]BS17!F82</f>
        <v>36</v>
      </c>
      <c r="D107" s="126">
        <f>+[3]BS17!G82</f>
        <v>2</v>
      </c>
      <c r="E107" s="127">
        <f>+[3]BS17!H82</f>
        <v>0</v>
      </c>
      <c r="F107" s="128">
        <f>+[3]BS17A!V1639</f>
        <v>7438230</v>
      </c>
    </row>
    <row r="108" spans="1:6" ht="15" customHeight="1" x14ac:dyDescent="0.2">
      <c r="A108" s="129">
        <v>2106</v>
      </c>
      <c r="B108" s="39" t="s">
        <v>168</v>
      </c>
      <c r="C108" s="121">
        <f>[3]BS17A!D1845</f>
        <v>4</v>
      </c>
      <c r="D108" s="122">
        <f>[3]BS17A!F1845</f>
        <v>0</v>
      </c>
      <c r="E108" s="123">
        <f>[3]BS17A!G1845</f>
        <v>0</v>
      </c>
      <c r="F108" s="124">
        <f>+[3]BS17A!V1845</f>
        <v>215720</v>
      </c>
    </row>
    <row r="109" spans="1:6" ht="15" customHeight="1" x14ac:dyDescent="0.2">
      <c r="A109" s="130"/>
      <c r="B109" s="131" t="s">
        <v>169</v>
      </c>
      <c r="C109" s="132">
        <f>SUM(C90:C108)-C103</f>
        <v>568</v>
      </c>
      <c r="D109" s="133">
        <f>SUM(D90:D108)-D103</f>
        <v>33</v>
      </c>
      <c r="E109" s="134">
        <f>+SUM(E90:E103)+E107+E108</f>
        <v>0</v>
      </c>
      <c r="F109" s="135">
        <f>+SUM(F90:F103)+F107+F108</f>
        <v>86307520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53" t="s">
        <v>170</v>
      </c>
      <c r="B112" s="754"/>
      <c r="C112" s="754"/>
      <c r="D112" s="754"/>
      <c r="E112" s="755"/>
      <c r="F112" s="5"/>
    </row>
    <row r="113" spans="1:6" ht="49.5" customHeight="1" x14ac:dyDescent="0.2">
      <c r="A113" s="11" t="s">
        <v>8</v>
      </c>
      <c r="B113" s="11" t="s">
        <v>9</v>
      </c>
      <c r="C113" s="15" t="s">
        <v>10</v>
      </c>
      <c r="D113" s="13" t="s">
        <v>11</v>
      </c>
      <c r="E113" s="16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+[3]BS17A!D1636</f>
        <v>84</v>
      </c>
      <c r="D114" s="136">
        <f>+[3]BS17A!U1636</f>
        <v>128940</v>
      </c>
      <c r="E114" s="137">
        <f>+[3]BS17A!V1636</f>
        <v>10830960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+[3]BS17A!D1637</f>
        <v>4</v>
      </c>
      <c r="D115" s="139">
        <f>+[3]BS17A!U1637</f>
        <v>135670</v>
      </c>
      <c r="E115" s="106">
        <f>+[3]BS17A!V1637</f>
        <v>542680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88</v>
      </c>
      <c r="D116" s="57"/>
      <c r="E116" s="107">
        <f>SUM(E114:E115)</f>
        <v>11373640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64" t="s">
        <v>176</v>
      </c>
      <c r="B119" s="764"/>
      <c r="C119" s="764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+[3]BS17A!V1871+[3]BS17A!V1889+[3]BS17A!V1914</f>
        <v>11410430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53" t="s">
        <v>179</v>
      </c>
      <c r="B124" s="754"/>
      <c r="C124" s="754"/>
      <c r="D124" s="754"/>
      <c r="E124" s="755"/>
      <c r="F124" s="5"/>
    </row>
    <row r="125" spans="1:6" ht="45.75" customHeight="1" x14ac:dyDescent="0.2">
      <c r="A125" s="11" t="s">
        <v>8</v>
      </c>
      <c r="B125" s="11" t="s">
        <v>9</v>
      </c>
      <c r="C125" s="15" t="s">
        <v>10</v>
      </c>
      <c r="D125" s="13" t="s">
        <v>11</v>
      </c>
      <c r="E125" s="16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+[3]BS17A!$D59</f>
        <v>5062</v>
      </c>
      <c r="D126" s="37">
        <f>+[3]BS17A!$U59</f>
        <v>33020</v>
      </c>
      <c r="E126" s="145">
        <f>+[3]BS17A!$V59</f>
        <v>167147240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+[3]BS17A!$D60</f>
        <v>0</v>
      </c>
      <c r="D127" s="24">
        <f>+[3]BS17A!$U60</f>
        <v>30400</v>
      </c>
      <c r="E127" s="146">
        <f>+[3]BS17A!$V60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+[3]BS17A!$D61</f>
        <v>0</v>
      </c>
      <c r="D128" s="24">
        <f>+[3]BS17A!$U61</f>
        <v>25340</v>
      </c>
      <c r="E128" s="146">
        <f>+[3]BS17A!$V61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SUM([3]BS17A!D62:D64)</f>
        <v>146</v>
      </c>
      <c r="D129" s="24">
        <f>+[3]BS17A!$U62</f>
        <v>137290</v>
      </c>
      <c r="E129" s="146">
        <f>SUM([3]BS17A!V62:V64)</f>
        <v>20044340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SUM([3]BS17A!D65:D67)</f>
        <v>248</v>
      </c>
      <c r="D130" s="24">
        <f>+[3]BS17A!$U65</f>
        <v>66300</v>
      </c>
      <c r="E130" s="146">
        <f>SUM([3]BS17A!V65:V67)</f>
        <v>16442400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+[3]BS17A!D68</f>
        <v>137</v>
      </c>
      <c r="D131" s="24">
        <f>+[3]BS17A!$U68</f>
        <v>59490</v>
      </c>
      <c r="E131" s="146">
        <f>+[3]BS17A!$V68</f>
        <v>8150130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+[3]BS17A!$D69</f>
        <v>0</v>
      </c>
      <c r="D132" s="24">
        <f>+[3]BS17A!$U69</f>
        <v>16880</v>
      </c>
      <c r="E132" s="146">
        <f>+[3]BS17A!$V69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+[3]BS17A!$D70</f>
        <v>0</v>
      </c>
      <c r="D133" s="24">
        <f>+[3]BS17A!$U70</f>
        <v>26450</v>
      </c>
      <c r="E133" s="146">
        <f>+[3]BS17A!$V70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+[3]BS17A!$D73</f>
        <v>0</v>
      </c>
      <c r="D134" s="24">
        <f>+[3]BS17A!$U73</f>
        <v>26670</v>
      </c>
      <c r="E134" s="146">
        <f>+[3]BS17A!$V73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+[3]BS17A!$D71</f>
        <v>0</v>
      </c>
      <c r="D135" s="24">
        <f>+[3]BS17A!$U71</f>
        <v>27530</v>
      </c>
      <c r="E135" s="146">
        <f>+[3]BS17A!$V71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+[3]BS17A!$D76</f>
        <v>0</v>
      </c>
      <c r="D136" s="24">
        <f>+[3]BS17A!$U76</f>
        <v>33020</v>
      </c>
      <c r="E136" s="146">
        <f>+[3]BS17A!$V76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+[3]BS17A!$D79</f>
        <v>49</v>
      </c>
      <c r="D137" s="24">
        <f>+[3]BS17A!$U79</f>
        <v>6410</v>
      </c>
      <c r="E137" s="146">
        <f>+[3]BS17A!$V79</f>
        <v>314090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+[3]BS17A!$D80</f>
        <v>0</v>
      </c>
      <c r="D138" s="24">
        <f>+[3]BS17A!$U80</f>
        <v>46280</v>
      </c>
      <c r="E138" s="146">
        <f>+[3]BS17A!$V80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5642</v>
      </c>
      <c r="D139" s="149"/>
      <c r="E139" s="150">
        <f>SUM(E126:E138)</f>
        <v>212098200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+[3]BS17A!$D72</f>
        <v>0</v>
      </c>
      <c r="D141" s="24">
        <f>+[3]BS17A!$U72</f>
        <v>11100</v>
      </c>
      <c r="E141" s="146">
        <f>+[3]BS17A!$V72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+[3]BS17A!$D74</f>
        <v>0</v>
      </c>
      <c r="D142" s="24">
        <f>+[3]BS17A!$U74</f>
        <v>11100</v>
      </c>
      <c r="E142" s="146">
        <f>+[3]BS17A!$V74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+[3]BS17A!$D75</f>
        <v>0</v>
      </c>
      <c r="D143" s="24">
        <f>+[3]BS17A!$U75</f>
        <v>4890</v>
      </c>
      <c r="E143" s="146">
        <f>+[3]BS17A!$V75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+[3]BS17A!$D77</f>
        <v>0</v>
      </c>
      <c r="D144" s="24">
        <f>+[3]BS17A!$U77</f>
        <v>89270</v>
      </c>
      <c r="E144" s="146">
        <f>+[3]BS17A!$V77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+[3]BS17A!$D78</f>
        <v>0</v>
      </c>
      <c r="D145" s="24">
        <f>+[3]BS17A!$U78</f>
        <v>10540</v>
      </c>
      <c r="E145" s="146">
        <f>+[3]BS17A!$V78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+[3]BS17A!$D81</f>
        <v>0</v>
      </c>
      <c r="D146" s="24">
        <f>+[3]BS17A!$U81</f>
        <v>8120</v>
      </c>
      <c r="E146" s="146">
        <f>+[3]BS17A!$V81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5642</v>
      </c>
      <c r="D148" s="151"/>
      <c r="E148" s="152">
        <f>+E139+E147</f>
        <v>212098200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45" t="s">
        <v>222</v>
      </c>
      <c r="B151" s="746"/>
      <c r="C151" s="746"/>
      <c r="D151" s="746"/>
      <c r="E151" s="747"/>
      <c r="F151" s="5"/>
    </row>
    <row r="152" spans="1:6" ht="47.25" customHeight="1" x14ac:dyDescent="0.2">
      <c r="A152" s="11" t="s">
        <v>8</v>
      </c>
      <c r="B152" s="11" t="s">
        <v>9</v>
      </c>
      <c r="C152" s="15" t="s">
        <v>10</v>
      </c>
      <c r="D152" s="13" t="s">
        <v>11</v>
      </c>
      <c r="E152" s="16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+[3]BS17A!D43</f>
        <v>289</v>
      </c>
      <c r="D153" s="37">
        <f>[3]BS17A!U43</f>
        <v>760</v>
      </c>
      <c r="E153" s="145">
        <f>+[3]BS17A!V43</f>
        <v>219640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+[3]BS17A!D44+[3]BS17A!D45</f>
        <v>0</v>
      </c>
      <c r="D154" s="40">
        <f>[3]BS17A!U44</f>
        <v>100</v>
      </c>
      <c r="E154" s="153">
        <f>+[3]BS17A!V44+[3]BS17A!V45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289</v>
      </c>
      <c r="D155" s="151"/>
      <c r="E155" s="152">
        <f>SUM(E153:E154)</f>
        <v>219640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5"/>
    </row>
    <row r="159" spans="1:6" ht="47.25" customHeight="1" x14ac:dyDescent="0.2">
      <c r="A159" s="11" t="s">
        <v>8</v>
      </c>
      <c r="B159" s="11" t="s">
        <v>9</v>
      </c>
      <c r="C159" s="15" t="s">
        <v>10</v>
      </c>
      <c r="D159" s="13" t="s">
        <v>11</v>
      </c>
      <c r="E159" s="16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+[3]BS17A!$D1481</f>
        <v>0</v>
      </c>
      <c r="D160" s="37">
        <f>+[3]BS17A!$U1481</f>
        <v>41580</v>
      </c>
      <c r="E160" s="145">
        <f>+[3]BS17A!$V1481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+[3]BS17A!$D1482</f>
        <v>0</v>
      </c>
      <c r="D161" s="24">
        <f>+[3]BS17A!$U1482</f>
        <v>26150</v>
      </c>
      <c r="E161" s="146">
        <f>+[3]BS17A!$V1482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+[3]BS17A!$D1483</f>
        <v>0</v>
      </c>
      <c r="D162" s="24">
        <f>+[3]BS17A!$U1483</f>
        <v>26930</v>
      </c>
      <c r="E162" s="146">
        <f>+[3]BS17A!$V1483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+[3]BS17A!$D1484</f>
        <v>0</v>
      </c>
      <c r="D163" s="24">
        <f>+[3]BS17A!$U1484</f>
        <v>808040</v>
      </c>
      <c r="E163" s="146">
        <f>+[3]BS17A!$V1484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+[3]BS17A!$D1485</f>
        <v>0</v>
      </c>
      <c r="D164" s="24">
        <f>+[3]BS17A!$U1485</f>
        <v>367020</v>
      </c>
      <c r="E164" s="146">
        <f>+[3]BS17A!$V1485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+[3]BS17A!$D1486</f>
        <v>0</v>
      </c>
      <c r="D165" s="24">
        <f>+[3]BS17A!$U1486</f>
        <v>561210</v>
      </c>
      <c r="E165" s="146">
        <f>+[3]BS17A!$V1486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+[3]BS17A!$D1487</f>
        <v>0</v>
      </c>
      <c r="D166" s="24">
        <f>+[3]BS17A!$U1487</f>
        <v>50600</v>
      </c>
      <c r="E166" s="146">
        <f>+[3]BS17A!$V1487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+[3]BS17A!$D1488</f>
        <v>0</v>
      </c>
      <c r="D167" s="40">
        <f>+[3]BS17A!$U1488</f>
        <v>657830</v>
      </c>
      <c r="E167" s="153">
        <f>+[3]BS17A!$V1488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5"/>
    </row>
    <row r="172" spans="1:6" ht="46.5" customHeight="1" x14ac:dyDescent="0.2">
      <c r="A172" s="11" t="s">
        <v>8</v>
      </c>
      <c r="B172" s="11" t="s">
        <v>9</v>
      </c>
      <c r="C172" s="15" t="s">
        <v>10</v>
      </c>
      <c r="D172" s="13" t="s">
        <v>11</v>
      </c>
      <c r="E172" s="16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+[3]BS17A!$D805</f>
        <v>7</v>
      </c>
      <c r="D173" s="37">
        <f>+[3]BS17A!$U805</f>
        <v>14260</v>
      </c>
      <c r="E173" s="145">
        <f>+[3]BS17A!$V805</f>
        <v>99820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+[3]BS17A!$D806</f>
        <v>0</v>
      </c>
      <c r="D174" s="24">
        <f>+[3]BS17A!$U806</f>
        <v>11400</v>
      </c>
      <c r="E174" s="146">
        <f>+[3]BS17A!$V806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+[3]BS17A!$D1197</f>
        <v>515</v>
      </c>
      <c r="D175" s="24">
        <f>+[3]BS17A!$U1197</f>
        <v>4880</v>
      </c>
      <c r="E175" s="146">
        <f>+[3]BS17A!$V1197</f>
        <v>2513200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+[3]BS17A!$D1198</f>
        <v>2</v>
      </c>
      <c r="D176" s="24">
        <f>+[3]BS17A!$U1198</f>
        <v>13770</v>
      </c>
      <c r="E176" s="146">
        <f>+[3]BS17A!$V1198</f>
        <v>27540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+[3]BS17A!$D1199</f>
        <v>7</v>
      </c>
      <c r="D177" s="24">
        <f>+[3]BS17A!$U1199</f>
        <v>23350</v>
      </c>
      <c r="E177" s="146">
        <f>+[3]BS17A!$V1199</f>
        <v>163450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+[3]BS17A!$D1200</f>
        <v>0</v>
      </c>
      <c r="D178" s="24">
        <f>+[3]BS17A!$U1200</f>
        <v>44580</v>
      </c>
      <c r="E178" s="146">
        <f>+[3]BS17A!$V1200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+[3]BS17A!$D1201</f>
        <v>139</v>
      </c>
      <c r="D179" s="24">
        <f>+[3]BS17A!$U1201</f>
        <v>49690</v>
      </c>
      <c r="E179" s="146">
        <f>+[3]BS17A!$V1201</f>
        <v>6906910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+[3]BS17A!$D1202</f>
        <v>0</v>
      </c>
      <c r="D180" s="24">
        <f>+[3]BS17A!$U1202</f>
        <v>27870</v>
      </c>
      <c r="E180" s="146">
        <f>+[3]BS17A!$V1202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+[3]BS17A!$D1203</f>
        <v>0</v>
      </c>
      <c r="D181" s="24">
        <f>+[3]BS17A!$U1203</f>
        <v>215630</v>
      </c>
      <c r="E181" s="146">
        <f>+[3]BS17A!$V1203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+[3]BS17A!$D1204</f>
        <v>0</v>
      </c>
      <c r="D182" s="24">
        <f>+[3]BS17A!$U1204</f>
        <v>245140</v>
      </c>
      <c r="E182" s="146">
        <f>+[3]BS17A!$V1204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+[3]BS17A!$D1205</f>
        <v>0</v>
      </c>
      <c r="D183" s="24">
        <f>+[3]BS17A!$U1205</f>
        <v>199900</v>
      </c>
      <c r="E183" s="146">
        <f>+[3]BS17A!$V1205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+[3]BS17A!$D1206</f>
        <v>0</v>
      </c>
      <c r="D184" s="24">
        <f>+[3]BS17A!$U1206</f>
        <v>256770</v>
      </c>
      <c r="E184" s="146">
        <f>+[3]BS17A!$V1206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+[3]BS17A!$D1207</f>
        <v>0</v>
      </c>
      <c r="D185" s="24">
        <f>+[3]BS17A!$U1207</f>
        <v>262730</v>
      </c>
      <c r="E185" s="146">
        <f>+[3]BS17A!$V1207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+[3]BS17A!$D1208</f>
        <v>0</v>
      </c>
      <c r="D186" s="24">
        <f>+[3]BS17A!$U1208</f>
        <v>222180</v>
      </c>
      <c r="E186" s="146">
        <f>+[3]BS17A!$V1208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+[3]BS17A!$D1209</f>
        <v>0</v>
      </c>
      <c r="D187" s="24">
        <f>+[3]BS17A!$U1209</f>
        <v>237160</v>
      </c>
      <c r="E187" s="146">
        <f>+[3]BS17A!$V1209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+[3]BS17A!$D1210</f>
        <v>0</v>
      </c>
      <c r="D188" s="24">
        <f>+[3]BS17A!$U1210</f>
        <v>283580</v>
      </c>
      <c r="E188" s="146">
        <f>+[3]BS17A!$V1210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+[3]BS17A!$D1211</f>
        <v>0</v>
      </c>
      <c r="D189" s="24">
        <f>+[3]BS17A!$U1211</f>
        <v>251470</v>
      </c>
      <c r="E189" s="146">
        <f>+[3]BS17A!$V1211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+[3]BS17A!$D1212</f>
        <v>0</v>
      </c>
      <c r="D190" s="24">
        <f>+[3]BS17A!$U1212</f>
        <v>1840310</v>
      </c>
      <c r="E190" s="146">
        <f>+[3]BS17A!$V1212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+[3]BS17A!$D1213</f>
        <v>0</v>
      </c>
      <c r="D191" s="24">
        <f>+[3]BS17A!$U1213</f>
        <v>1149460</v>
      </c>
      <c r="E191" s="146">
        <f>+[3]BS17A!$V1213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+[3]BS17A!$D1214</f>
        <v>0</v>
      </c>
      <c r="D192" s="24">
        <f>+[3]BS17A!$U1214</f>
        <v>1112540</v>
      </c>
      <c r="E192" s="146">
        <f>+[3]BS17A!$V1214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+[3]BS17A!$D1215</f>
        <v>0</v>
      </c>
      <c r="D193" s="24">
        <f>+[3]BS17A!$U1215</f>
        <v>1165530</v>
      </c>
      <c r="E193" s="146">
        <f>+[3]BS17A!$V1215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+[3]BS17A!$D1216</f>
        <v>0</v>
      </c>
      <c r="D194" s="24">
        <f>+[3]BS17A!$U1216</f>
        <v>164930</v>
      </c>
      <c r="E194" s="146">
        <f>+[3]BS17A!$V1216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+[3]BS17A!$D1217</f>
        <v>0</v>
      </c>
      <c r="D195" s="24">
        <f>+[3]BS17A!$U1217</f>
        <v>376370</v>
      </c>
      <c r="E195" s="146">
        <f>+[3]BS17A!$V1217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+[3]BS17A!$D1218</f>
        <v>0</v>
      </c>
      <c r="D196" s="24">
        <f>+[3]BS17A!$U1218</f>
        <v>139530</v>
      </c>
      <c r="E196" s="146">
        <f>+[3]BS17A!$V1218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+[3]BS17A!$D1219</f>
        <v>0</v>
      </c>
      <c r="D197" s="24">
        <f>+[3]BS17A!$U1219</f>
        <v>1130520</v>
      </c>
      <c r="E197" s="146">
        <f>+[3]BS17A!$V1219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+[3]BS17A!$D1220</f>
        <v>0</v>
      </c>
      <c r="D198" s="24">
        <f>+[3]BS17A!$U1220</f>
        <v>1130520</v>
      </c>
      <c r="E198" s="146">
        <f>+[3]BS17A!$V1220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+[3]BS17A!$D1354</f>
        <v>66</v>
      </c>
      <c r="D199" s="24">
        <f>+[3]BS17A!$U1354</f>
        <v>33720</v>
      </c>
      <c r="E199" s="146">
        <f>+[3]BS17A!$V1354</f>
        <v>2225520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+[3]BS17A!$D1355</f>
        <v>0</v>
      </c>
      <c r="D200" s="24">
        <f>+[3]BS17A!$U1355</f>
        <v>40670</v>
      </c>
      <c r="E200" s="146">
        <f>+[3]BS17A!$V1355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+[3]BS17A!$D1356</f>
        <v>12</v>
      </c>
      <c r="D201" s="24">
        <f>+[3]BS17A!$U1356</f>
        <v>43320</v>
      </c>
      <c r="E201" s="146">
        <f>+[3]BS17A!$V1356</f>
        <v>519840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[3]BS17A!D1036</f>
        <v>2</v>
      </c>
      <c r="D202" s="24">
        <f>[3]BS17A!U1036</f>
        <v>9120</v>
      </c>
      <c r="E202" s="146">
        <f>[3]BS17A!V1036</f>
        <v>18240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[3]BS17A!D807</f>
        <v>0</v>
      </c>
      <c r="D203" s="24">
        <f>[3]BS17A!U807</f>
        <v>386950</v>
      </c>
      <c r="E203" s="146">
        <f>[3]BS17A!V807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[3]BS17A!D808</f>
        <v>0</v>
      </c>
      <c r="D204" s="24">
        <f>[3]BS17A!U808</f>
        <v>8685620</v>
      </c>
      <c r="E204" s="146">
        <f>[3]BS17A!V808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[3]BS17A!D809</f>
        <v>0</v>
      </c>
      <c r="D205" s="24">
        <f>[3]BS17A!U809</f>
        <v>222960</v>
      </c>
      <c r="E205" s="146">
        <f>[3]BS17A!V809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[3]BS17A!D810</f>
        <v>0</v>
      </c>
      <c r="D206" s="40">
        <f>[3]BS17A!U810</f>
        <v>1016710</v>
      </c>
      <c r="E206" s="153">
        <f>[3]BS17A!V810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750</v>
      </c>
      <c r="D207" s="151"/>
      <c r="E207" s="152">
        <f>SUM(E173:E206)</f>
        <v>12474520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5"/>
    </row>
    <row r="211" spans="1:6" ht="39.75" customHeight="1" x14ac:dyDescent="0.2">
      <c r="A211" s="11" t="s">
        <v>8</v>
      </c>
      <c r="B211" s="11" t="s">
        <v>9</v>
      </c>
      <c r="C211" s="15" t="s">
        <v>10</v>
      </c>
      <c r="D211" s="13" t="s">
        <v>11</v>
      </c>
      <c r="E211" s="16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+[3]BS17A!$D18</f>
        <v>0</v>
      </c>
      <c r="D212" s="37">
        <f>+[3]BS17A!$U18</f>
        <v>14110</v>
      </c>
      <c r="E212" s="145">
        <f>+[3]BS17A!$V18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+[3]BS17A!$D19</f>
        <v>60</v>
      </c>
      <c r="D213" s="24">
        <f>+[3]BS17A!$U19</f>
        <v>14110</v>
      </c>
      <c r="E213" s="146">
        <f>+[3]BS17A!$V19</f>
        <v>846600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+[3]BS17A!$D47</f>
        <v>0</v>
      </c>
      <c r="D214" s="24">
        <f>+[3]BS17A!$U47</f>
        <v>1350</v>
      </c>
      <c r="E214" s="146">
        <f>+[3]BS17A!$V47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+[3]BS17A!$D48</f>
        <v>394</v>
      </c>
      <c r="D215" s="24">
        <f>+[3]BS17A!$U48</f>
        <v>660</v>
      </c>
      <c r="E215" s="146">
        <f>+[3]BS17A!$V48</f>
        <v>260040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+[3]BS17A!$D49</f>
        <v>4497</v>
      </c>
      <c r="D216" s="24">
        <f>+[3]BS17A!$U49</f>
        <v>2000</v>
      </c>
      <c r="E216" s="146">
        <f>+[3]BS17A!$V49</f>
        <v>8994000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+[3]BS17A!$D50</f>
        <v>59</v>
      </c>
      <c r="D217" s="24">
        <f>+[3]BS17A!$U50</f>
        <v>15030</v>
      </c>
      <c r="E217" s="146">
        <f>+[3]BS17A!$V50</f>
        <v>886770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+[3]BS17A!$D51</f>
        <v>105</v>
      </c>
      <c r="D218" s="24">
        <f>+[3]BS17A!$U51</f>
        <v>34510</v>
      </c>
      <c r="E218" s="146">
        <f>+[3]BS17A!$V51</f>
        <v>3623550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+[3]BS17A!D52</f>
        <v>45</v>
      </c>
      <c r="D219" s="174"/>
      <c r="E219" s="146">
        <f>+[3]BS17A!V52</f>
        <v>387450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+[3]BS17A!$D1861</f>
        <v>42</v>
      </c>
      <c r="D220" s="40">
        <f>+[3]BS17A!$U1861</f>
        <v>27970</v>
      </c>
      <c r="E220" s="153">
        <f>+[3]BS17A!$V1861</f>
        <v>1174740</v>
      </c>
      <c r="F220" s="8"/>
    </row>
    <row r="221" spans="1:6" ht="12.75" x14ac:dyDescent="0.2">
      <c r="A221" s="130"/>
      <c r="B221" s="131" t="s">
        <v>329</v>
      </c>
      <c r="C221" s="44">
        <f>SUM(C212:C220)</f>
        <v>5202</v>
      </c>
      <c r="D221" s="151"/>
      <c r="E221" s="175">
        <f>SUM(E212:E220)</f>
        <v>16173150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65" t="s">
        <v>330</v>
      </c>
      <c r="B224" s="766"/>
      <c r="C224" s="767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15" t="s">
        <v>10</v>
      </c>
      <c r="D232" s="13" t="s">
        <v>11</v>
      </c>
      <c r="E232" s="16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+[3]BS17A!$D1941</f>
        <v>356</v>
      </c>
      <c r="D233" s="37">
        <f>+[3]BS17A!$U1941</f>
        <v>19310</v>
      </c>
      <c r="E233" s="145">
        <f>+[3]BS17A!$V1941</f>
        <v>6874360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+[3]BS17A!$D1942</f>
        <v>0</v>
      </c>
      <c r="D234" s="40">
        <f>+[3]BS17A!$U1942</f>
        <v>242060</v>
      </c>
      <c r="E234" s="153">
        <f>+[3]BS17A!$V1942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356</v>
      </c>
      <c r="D235" s="151"/>
      <c r="E235" s="152">
        <f>SUM(E233:E234)</f>
        <v>6874360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8"/>
    </row>
    <row r="239" spans="1:7" ht="41.25" customHeight="1" x14ac:dyDescent="0.2">
      <c r="A239" s="11" t="s">
        <v>8</v>
      </c>
      <c r="B239" s="11" t="s">
        <v>9</v>
      </c>
      <c r="C239" s="15" t="s">
        <v>10</v>
      </c>
      <c r="D239" s="13" t="s">
        <v>11</v>
      </c>
      <c r="E239" s="16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[3]BS17A!D768</f>
        <v>1052</v>
      </c>
      <c r="D240" s="191"/>
      <c r="E240" s="192">
        <f>[3]BS17A!V768</f>
        <v>7609820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8"/>
    </row>
    <row r="243" spans="1:6" ht="43.5" customHeight="1" x14ac:dyDescent="0.2">
      <c r="A243" s="11" t="s">
        <v>8</v>
      </c>
      <c r="B243" s="15" t="s">
        <v>346</v>
      </c>
      <c r="C243" s="100" t="s">
        <v>347</v>
      </c>
      <c r="D243" s="13" t="s">
        <v>11</v>
      </c>
      <c r="E243" s="16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+[3]BS17A!$D1944</f>
        <v>0</v>
      </c>
      <c r="D244" s="37">
        <f>+[3]BS17A!$U1944</f>
        <v>247230</v>
      </c>
      <c r="E244" s="145">
        <f>+[3]BS17A!$V1944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+[3]BS17A!$D1945</f>
        <v>0</v>
      </c>
      <c r="D245" s="24">
        <f>+[3]BS17A!$U1945</f>
        <v>35130</v>
      </c>
      <c r="E245" s="146">
        <f>+[3]BS17A!$V1945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+[3]BS17A!$D1946</f>
        <v>0</v>
      </c>
      <c r="D246" s="24">
        <f>+[3]BS17A!$U1946</f>
        <v>132520</v>
      </c>
      <c r="E246" s="146">
        <f>+[3]BS17A!$V1946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+[3]BS17A!$D1947</f>
        <v>0</v>
      </c>
      <c r="D247" s="24">
        <f>+[3]BS17A!$U1947</f>
        <v>132520</v>
      </c>
      <c r="E247" s="146">
        <f>+[3]BS17A!$V1947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+[3]BS17A!$D1948</f>
        <v>0</v>
      </c>
      <c r="D248" s="24">
        <f>+[3]BS17A!$U1948</f>
        <v>241260</v>
      </c>
      <c r="E248" s="146">
        <f>+[3]BS17A!$V1948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+[3]BS17A!$D1949</f>
        <v>0</v>
      </c>
      <c r="D249" s="24">
        <f>+[3]BS17A!$U1949</f>
        <v>370240</v>
      </c>
      <c r="E249" s="146">
        <f>+[3]BS17A!$V1949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+[3]BS17A!$D1950</f>
        <v>0</v>
      </c>
      <c r="D250" s="24">
        <f>+[3]BS17A!$U1950</f>
        <v>631610</v>
      </c>
      <c r="E250" s="146">
        <f>+[3]BS17A!$V1950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+[3]BS17A!$D1951</f>
        <v>0</v>
      </c>
      <c r="D251" s="24">
        <f>+[3]BS17A!$U1951</f>
        <v>131550</v>
      </c>
      <c r="E251" s="146">
        <f>+[3]BS17A!$V1951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+[3]BS17A!$D1952</f>
        <v>0</v>
      </c>
      <c r="D252" s="24">
        <f>+[3]BS17A!$U1952</f>
        <v>354560</v>
      </c>
      <c r="E252" s="146">
        <f>+[3]BS17A!$V1952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+[3]BS17A!$D1953</f>
        <v>0</v>
      </c>
      <c r="D253" s="31">
        <f>+[3]BS17A!$U1953</f>
        <v>149290</v>
      </c>
      <c r="E253" s="198">
        <f>+[3]BS17A!$V1953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+[3]BS17A!$D1954</f>
        <v>0</v>
      </c>
      <c r="D254" s="31">
        <f>+[3]BS17A!$U1954</f>
        <v>129730</v>
      </c>
      <c r="E254" s="198">
        <f>+[3]BS17A!$V1954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+[3]BS17A!$D1955</f>
        <v>0</v>
      </c>
      <c r="D255" s="31">
        <f>+[3]BS17A!$U1955</f>
        <v>197230</v>
      </c>
      <c r="E255" s="198">
        <f>+[3]BS17A!$V1955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+[3]BS17A!$D1956</f>
        <v>0</v>
      </c>
      <c r="D256" s="31">
        <f>+[3]BS17A!$U1956</f>
        <v>51900</v>
      </c>
      <c r="E256" s="198">
        <f>+[3]BS17A!$V1956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+[3]BS17A!$D1957</f>
        <v>0</v>
      </c>
      <c r="D257" s="40">
        <f>+[3]BS17A!$U1957</f>
        <v>38790</v>
      </c>
      <c r="E257" s="153">
        <f>+[3]BS17A!$V1957</f>
        <v>0</v>
      </c>
      <c r="F257" s="8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+[3]BS17A!$D1958</f>
        <v>0</v>
      </c>
      <c r="D259" s="37">
        <f>+[3]BS17A!$U1958</f>
        <v>212700</v>
      </c>
      <c r="E259" s="145">
        <f>+[3]BS17A!$V1958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+[3]BS17A!$D1959</f>
        <v>0</v>
      </c>
      <c r="D260" s="24">
        <f>+[3]BS17A!$U1959</f>
        <v>1265290</v>
      </c>
      <c r="E260" s="146">
        <f>+[3]BS17A!$V1959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+[3]BS17A!$D1960</f>
        <v>0</v>
      </c>
      <c r="D261" s="24">
        <f>+[3]BS17A!$U1960</f>
        <v>190900</v>
      </c>
      <c r="E261" s="146">
        <f>+[3]BS17A!$V1960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+[3]BS17A!$D1961</f>
        <v>0</v>
      </c>
      <c r="D262" s="24">
        <f>+[3]BS17A!$U1961</f>
        <v>168820</v>
      </c>
      <c r="E262" s="146">
        <f>+[3]BS17A!$V1961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+[3]BS17A!$D1962</f>
        <v>0</v>
      </c>
      <c r="D263" s="24">
        <f>+[3]BS17A!$U1962</f>
        <v>342700</v>
      </c>
      <c r="E263" s="146">
        <f>+[3]BS17A!$V1962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+[3]BS17A!$D1963</f>
        <v>0</v>
      </c>
      <c r="D264" s="24">
        <f>+[3]BS17A!$U1963</f>
        <v>1139590</v>
      </c>
      <c r="E264" s="146">
        <f>+[3]BS17A!$V1963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+[3]BS17A!$D1964</f>
        <v>0</v>
      </c>
      <c r="D265" s="24">
        <f>+[3]BS17A!$U1964</f>
        <v>1171120</v>
      </c>
      <c r="E265" s="146">
        <f>+[3]BS17A!$V1964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+[3]BS17A!$D1965</f>
        <v>0</v>
      </c>
      <c r="D266" s="24">
        <f>+[3]BS17A!$U1965</f>
        <v>927270</v>
      </c>
      <c r="E266" s="146">
        <f>+[3]BS17A!$V1965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+[3]BS17A!$D1966</f>
        <v>0</v>
      </c>
      <c r="D267" s="24">
        <f>+[3]BS17A!$U1966</f>
        <v>977250</v>
      </c>
      <c r="E267" s="146">
        <f>+[3]BS17A!$V1966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+[3]BS17A!$D1967</f>
        <v>0</v>
      </c>
      <c r="D268" s="24">
        <f>+[3]BS17A!$U1967</f>
        <v>385520</v>
      </c>
      <c r="E268" s="146">
        <f>+[3]BS17A!$V1967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+[3]BS17A!$D1968</f>
        <v>0</v>
      </c>
      <c r="D269" s="24">
        <f>+[3]BS17A!$U1968</f>
        <v>92330</v>
      </c>
      <c r="E269" s="146">
        <f>+[3]BS17A!$V1968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+[3]BS17A!$D1969</f>
        <v>0</v>
      </c>
      <c r="D270" s="24">
        <f>+[3]BS17A!$U1969</f>
        <v>275450</v>
      </c>
      <c r="E270" s="146">
        <f>+[3]BS17A!$V1969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+[3]BS17A!$D1970</f>
        <v>0</v>
      </c>
      <c r="D271" s="24">
        <f>+[3]BS17A!$U1970</f>
        <v>77880</v>
      </c>
      <c r="E271" s="146">
        <f>+[3]BS17A!$V1970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+[3]BS17A!$D1971</f>
        <v>0</v>
      </c>
      <c r="D272" s="24">
        <f>+[3]BS17A!$U1971</f>
        <v>1338250</v>
      </c>
      <c r="E272" s="146">
        <f>+[3]BS17A!$V1971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+[3]BS17A!$D1972</f>
        <v>0</v>
      </c>
      <c r="D273" s="24">
        <f>+[3]BS17A!$U1972</f>
        <v>312910</v>
      </c>
      <c r="E273" s="146">
        <f>+[3]BS17A!$V1972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+[3]BS17A!$D1973</f>
        <v>0</v>
      </c>
      <c r="D274" s="24">
        <f>+[3]BS17A!$U1973</f>
        <v>1048270</v>
      </c>
      <c r="E274" s="146">
        <f>+[3]BS17A!$V1973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+[3]BS17A!$D1974</f>
        <v>0</v>
      </c>
      <c r="D275" s="24">
        <f>+[3]BS17A!$U1974</f>
        <v>641750</v>
      </c>
      <c r="E275" s="146">
        <f>+[3]BS17A!$V1974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+[3]BS17A!$D1975</f>
        <v>0</v>
      </c>
      <c r="D276" s="31">
        <f>+[3]BS17A!$U1975</f>
        <v>523710</v>
      </c>
      <c r="E276" s="198">
        <f>+[3]BS17A!$V1975</f>
        <v>0</v>
      </c>
      <c r="F276" s="8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+[3]BS17A!$D1976</f>
        <v>0</v>
      </c>
      <c r="D278" s="20">
        <f>[3]BS17A!U1976</f>
        <v>282310</v>
      </c>
      <c r="E278" s="202">
        <f>+[3]BS17A!$V1976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+[3]BS17A!$D1977</f>
        <v>0</v>
      </c>
      <c r="D279" s="24">
        <f>[3]BS17A!U1977</f>
        <v>164590</v>
      </c>
      <c r="E279" s="146">
        <f>+[3]BS17A!$V1977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+[3]BS17A!$D1978</f>
        <v>0</v>
      </c>
      <c r="D280" s="24">
        <f>[3]BS17A!U1978</f>
        <v>397700</v>
      </c>
      <c r="E280" s="146">
        <f>+[3]BS17A!$V1978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+[3]BS17A!$D1979</f>
        <v>0</v>
      </c>
      <c r="D281" s="24">
        <f>[3]BS17A!U1979</f>
        <v>412140</v>
      </c>
      <c r="E281" s="146">
        <f>+[3]BS17A!$V1979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+[3]BS17A!$D1980</f>
        <v>0</v>
      </c>
      <c r="D282" s="40">
        <f>[3]BS17A!U1980</f>
        <v>257530</v>
      </c>
      <c r="E282" s="153">
        <f>+[3]BS17A!$V1980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+[3]BS17A!$D1981</f>
        <v>86</v>
      </c>
      <c r="D283" s="207">
        <f>[3]BS17A!U1981</f>
        <v>35020</v>
      </c>
      <c r="E283" s="192">
        <f>+[3]BS17A!$V1981</f>
        <v>3011720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86</v>
      </c>
      <c r="D284" s="151"/>
      <c r="E284" s="152">
        <f>SUM(E244:E283)</f>
        <v>3011720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8"/>
    </row>
    <row r="288" spans="1:10" ht="44.25" customHeight="1" x14ac:dyDescent="0.2">
      <c r="A288" s="11" t="s">
        <v>8</v>
      </c>
      <c r="B288" s="11" t="s">
        <v>426</v>
      </c>
      <c r="C288" s="15" t="s">
        <v>347</v>
      </c>
      <c r="D288" s="13" t="s">
        <v>11</v>
      </c>
      <c r="E288" s="16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+[3]BS17A!$D1983</f>
        <v>2</v>
      </c>
      <c r="D289" s="37">
        <f>+[3]BS17A!$U1983</f>
        <v>6890</v>
      </c>
      <c r="E289" s="145">
        <f>+[3]BS17A!$V1983</f>
        <v>13780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+[3]BS17A!$D1984</f>
        <v>0</v>
      </c>
      <c r="D290" s="24">
        <f>+[3]BS17A!$U1984</f>
        <v>3670</v>
      </c>
      <c r="E290" s="146">
        <f>+[3]BS17A!$V1984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+[3]BS17A!$D1985</f>
        <v>1</v>
      </c>
      <c r="D291" s="24">
        <f>+[3]BS17A!$U1985</f>
        <v>13830</v>
      </c>
      <c r="E291" s="146">
        <f>+[3]BS17A!$V1985</f>
        <v>13830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+[3]BS17A!$D1986</f>
        <v>0</v>
      </c>
      <c r="D292" s="24">
        <f>+[3]BS17A!$U1986</f>
        <v>141790</v>
      </c>
      <c r="E292" s="146">
        <f>+[3]BS17A!$V1986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+[3]BS17A!$D1987</f>
        <v>0</v>
      </c>
      <c r="D293" s="40">
        <f>+[3]BS17A!$U1987</f>
        <v>778770</v>
      </c>
      <c r="E293" s="153">
        <f>+[3]BS17A!$V1987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3</v>
      </c>
      <c r="D294" s="57"/>
      <c r="E294" s="107">
        <f>SUM(E289:E293)</f>
        <v>27610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56" t="s">
        <v>438</v>
      </c>
      <c r="B297" s="757"/>
      <c r="C297" s="757"/>
      <c r="D297" s="757"/>
      <c r="E297" s="758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16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+[3]BS17A!$D1863</f>
        <v>179</v>
      </c>
      <c r="D299" s="37">
        <f>+[3]BS17A!$U1863</f>
        <v>18430</v>
      </c>
      <c r="E299" s="145">
        <f>+[3]BS17A!$V1863</f>
        <v>3298970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+[3]BS17A!$D1864</f>
        <v>177</v>
      </c>
      <c r="D300" s="24">
        <f>+[3]BS17A!$U1864</f>
        <v>57970</v>
      </c>
      <c r="E300" s="146">
        <f>+[3]BS17A!$V1864</f>
        <v>10260690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+[3]BS17A!$D1865</f>
        <v>0</v>
      </c>
      <c r="D301" s="24">
        <f>+[3]BS17A!$U1865</f>
        <v>71860</v>
      </c>
      <c r="E301" s="146">
        <f>+[3]BS17A!$V1865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+[3]BS17A!$D1866</f>
        <v>142</v>
      </c>
      <c r="D302" s="24">
        <f>+[3]BS17A!$U1866</f>
        <v>2520</v>
      </c>
      <c r="E302" s="146">
        <f>+[3]BS17A!$V1866</f>
        <v>357840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+[3]BS17A!$D1867</f>
        <v>0</v>
      </c>
      <c r="D303" s="24">
        <f>+[3]BS17A!$U1867</f>
        <v>70</v>
      </c>
      <c r="E303" s="146">
        <f>+[3]BS17A!$V1867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+[3]BS17A!$D1868</f>
        <v>0</v>
      </c>
      <c r="D304" s="24">
        <f>+[3]BS17A!$U1868</f>
        <v>152560</v>
      </c>
      <c r="E304" s="146">
        <f>+[3]BS17A!$V1868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+[3]BS17A!$D1869</f>
        <v>0</v>
      </c>
      <c r="D305" s="40">
        <f>+[3]BS17A!$U1869</f>
        <v>10370</v>
      </c>
      <c r="E305" s="153">
        <f>+[3]BS17A!$V1869</f>
        <v>0</v>
      </c>
      <c r="F305" s="8"/>
    </row>
    <row r="306" spans="1:7" ht="15" customHeight="1" x14ac:dyDescent="0.2">
      <c r="A306" s="96"/>
      <c r="B306" s="771" t="s">
        <v>454</v>
      </c>
      <c r="C306" s="772"/>
      <c r="D306" s="191"/>
      <c r="E306" s="220">
        <f>SUM(E299:E305)</f>
        <v>13917500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45" t="s">
        <v>455</v>
      </c>
      <c r="B309" s="746"/>
      <c r="C309" s="746"/>
      <c r="D309" s="746"/>
      <c r="E309" s="747"/>
      <c r="F309" s="178"/>
      <c r="G309" s="185"/>
    </row>
    <row r="310" spans="1:7" ht="12.75" x14ac:dyDescent="0.2">
      <c r="A310" s="221"/>
      <c r="B310" s="768" t="s">
        <v>456</v>
      </c>
      <c r="C310" s="769"/>
      <c r="D310" s="770"/>
      <c r="E310" s="222">
        <f>+E235+E240+E284+E294+E306</f>
        <v>31441010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45" t="s">
        <v>457</v>
      </c>
      <c r="B313" s="746"/>
      <c r="C313" s="746"/>
      <c r="D313" s="746"/>
      <c r="E313" s="747"/>
      <c r="F313" s="178"/>
      <c r="G313" s="185"/>
    </row>
    <row r="314" spans="1:7" ht="25.5" x14ac:dyDescent="0.2">
      <c r="A314" s="756" t="s">
        <v>458</v>
      </c>
      <c r="B314" s="757"/>
      <c r="C314" s="757"/>
      <c r="D314" s="758"/>
      <c r="E314" s="11" t="s">
        <v>12</v>
      </c>
      <c r="F314" s="178"/>
      <c r="G314" s="185"/>
    </row>
    <row r="315" spans="1:7" ht="15" customHeight="1" x14ac:dyDescent="0.2">
      <c r="A315" s="221"/>
      <c r="B315" s="768" t="s">
        <v>459</v>
      </c>
      <c r="C315" s="769"/>
      <c r="D315" s="770"/>
      <c r="E315" s="222">
        <f>+E50+E76+E84+F109+E116+C121+E148+E155+E168+E207+E221+C228+E310</f>
        <v>640228410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45" t="s">
        <v>460</v>
      </c>
      <c r="B318" s="746"/>
      <c r="C318" s="747"/>
      <c r="D318" s="8"/>
      <c r="E318" s="8"/>
      <c r="F318" s="5"/>
    </row>
    <row r="319" spans="1:7" ht="18" customHeight="1" x14ac:dyDescent="0.2">
      <c r="A319" s="756" t="s">
        <v>461</v>
      </c>
      <c r="B319" s="757"/>
      <c r="C319" s="758"/>
      <c r="D319" s="8"/>
      <c r="E319" s="8"/>
      <c r="F319" s="5"/>
    </row>
    <row r="320" spans="1:7" ht="30.75" customHeight="1" x14ac:dyDescent="0.2">
      <c r="A320" s="745" t="s">
        <v>462</v>
      </c>
      <c r="B320" s="746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12478270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69329051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81807321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74" t="str">
        <f>[3]NOMBRE!B12</f>
        <v xml:space="preserve">SRA. MARIA INES NUÑEZ GONZALEZ </v>
      </c>
      <c r="F338" s="774"/>
    </row>
    <row r="339" spans="1:6" ht="12.75" x14ac:dyDescent="0.2">
      <c r="A339" s="186"/>
      <c r="B339" s="186"/>
      <c r="C339" s="186"/>
      <c r="D339" s="188"/>
      <c r="E339" s="773" t="str">
        <f>[3]NOMBRE!A12</f>
        <v>Jefe de Estadisticas</v>
      </c>
      <c r="F339" s="773"/>
    </row>
    <row r="340" spans="1:6" ht="12.75" x14ac:dyDescent="0.2">
      <c r="A340" s="186"/>
      <c r="B340" s="186"/>
      <c r="C340" s="186"/>
      <c r="D340" s="186"/>
      <c r="E340" s="23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74" t="str">
        <f>[3]NOMBRE!B11</f>
        <v xml:space="preserve">DR. FRANCISCO MARTINEZ CAVALLA </v>
      </c>
      <c r="F347" s="774"/>
    </row>
    <row r="348" spans="1:6" ht="22.5" customHeight="1" x14ac:dyDescent="0.2">
      <c r="A348" s="186"/>
      <c r="B348" s="186"/>
      <c r="C348" s="186"/>
      <c r="D348" s="215"/>
      <c r="E348" s="773" t="str">
        <f>CONCATENATE("Director ",[3]NOMBRE!B1)</f>
        <v xml:space="preserve">Director </v>
      </c>
      <c r="F348" s="773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E348:F348"/>
    <mergeCell ref="A318:C318"/>
    <mergeCell ref="A319:C319"/>
    <mergeCell ref="A320:B320"/>
    <mergeCell ref="E338:F338"/>
    <mergeCell ref="E339:F339"/>
    <mergeCell ref="E347:F347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C19" sqref="C19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42" t="s">
        <v>1</v>
      </c>
      <c r="D1" s="743"/>
      <c r="E1" s="744"/>
      <c r="F1" s="3"/>
    </row>
    <row r="2" spans="1:7" ht="12.75" x14ac:dyDescent="0.2">
      <c r="A2" s="1" t="str">
        <f>CONCATENATE("COMUNA: ",[4]NOMBRE!B2," - ","( ",[4]NOMBRE!C2,[4]NOMBRE!D2,[4]NOMBRE!E2,[4]NOMBRE!F2,[4]NOMBRE!G2," )")</f>
        <v>COMUNA: LINARES - ( 07401 )</v>
      </c>
      <c r="B2" s="2"/>
      <c r="C2" s="739"/>
      <c r="D2" s="740"/>
      <c r="E2" s="741"/>
      <c r="F2" s="5"/>
      <c r="G2" s="6"/>
    </row>
    <row r="3" spans="1:7" ht="12.75" x14ac:dyDescent="0.2">
      <c r="A3" s="1" t="str">
        <f>CONCATENATE("ESTABLECIMIENTO/ESTRATEGIA: ",[4]NOMBRE!B3," - ","( ",[4]NOMBRE!C3,[4]NOMBRE!D3,[4]NOMBRE!E3,[4]NOMBRE!F3,[4]NOMBRE!G3,[4]NOMBRE!H3," )")</f>
        <v>ESTABLECIMIENTO/ESTRATEGIA: HOSPITAL DE LINARES  - ( 116108 )</v>
      </c>
      <c r="B3" s="2"/>
      <c r="C3" s="742" t="s">
        <v>2</v>
      </c>
      <c r="D3" s="743"/>
      <c r="E3" s="744"/>
      <c r="F3" s="5"/>
      <c r="G3" s="7"/>
    </row>
    <row r="4" spans="1:7" ht="12.75" x14ac:dyDescent="0.2">
      <c r="A4" s="1" t="str">
        <f>CONCATENATE("MES: ",[4]NOMBRE!B6," - ","( ",[4]NOMBRE!C6,[4]NOMBRE!D6," )")</f>
        <v>MES: MARZO - ( 03 )</v>
      </c>
      <c r="B4" s="2"/>
      <c r="C4" s="739" t="str">
        <f>CONCATENATE([4]NOMBRE!B6," ","( ",[4]NOMBRE!C6,[4]NOMBRE!D6," )")</f>
        <v>MARZO ( 03 )</v>
      </c>
      <c r="D4" s="740"/>
      <c r="E4" s="741"/>
      <c r="F4" s="5"/>
      <c r="G4" s="7"/>
    </row>
    <row r="5" spans="1:7" ht="12.75" x14ac:dyDescent="0.2">
      <c r="A5" s="1" t="str">
        <f>CONCATENATE("AÑO: ",[4]NOMBRE!B7)</f>
        <v>AÑO: 2015</v>
      </c>
      <c r="B5" s="2"/>
      <c r="C5" s="742" t="s">
        <v>3</v>
      </c>
      <c r="D5" s="743"/>
      <c r="E5" s="744"/>
      <c r="F5" s="5"/>
      <c r="G5" s="7"/>
    </row>
    <row r="6" spans="1:7" ht="12.75" x14ac:dyDescent="0.2">
      <c r="A6" s="8"/>
      <c r="B6" s="8"/>
      <c r="C6" s="739">
        <f>[4]NOMBRE!B7</f>
        <v>2015</v>
      </c>
      <c r="D6" s="740"/>
      <c r="E6" s="741"/>
      <c r="F6" s="5"/>
      <c r="G6" s="7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5"/>
      <c r="G7" s="7"/>
    </row>
    <row r="8" spans="1:7" ht="15" x14ac:dyDescent="0.2">
      <c r="A8" s="8"/>
      <c r="B8" s="241" t="s">
        <v>6</v>
      </c>
      <c r="C8" s="739" t="str">
        <f>CONCATENATE([4]NOMBRE!B3," ","( ",[4]NOMBRE!C3,[4]NOMBRE!D3,[4]NOMBRE!E3,[4]NOMBRE!F3,[4]NOMBRE!G3," )")</f>
        <v>HOSPITAL DE LINARES  ( 11610 )</v>
      </c>
      <c r="D8" s="740"/>
      <c r="E8" s="741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53" t="s">
        <v>7</v>
      </c>
      <c r="B11" s="754"/>
      <c r="C11" s="754"/>
      <c r="D11" s="754"/>
      <c r="E11" s="755"/>
      <c r="F11" s="5"/>
    </row>
    <row r="12" spans="1:7" ht="43.5" customHeight="1" x14ac:dyDescent="0.2">
      <c r="A12" s="11" t="s">
        <v>8</v>
      </c>
      <c r="B12" s="11" t="s">
        <v>9</v>
      </c>
      <c r="C12" s="242" t="s">
        <v>10</v>
      </c>
      <c r="D12" s="13" t="s">
        <v>11</v>
      </c>
      <c r="E12" s="244" t="s">
        <v>12</v>
      </c>
      <c r="F12" s="8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8"/>
    </row>
    <row r="14" spans="1:7" ht="15" customHeight="1" x14ac:dyDescent="0.2">
      <c r="A14" s="17" t="s">
        <v>14</v>
      </c>
      <c r="B14" s="18" t="s">
        <v>15</v>
      </c>
      <c r="C14" s="19">
        <f>[4]BS17A!$D13</f>
        <v>0</v>
      </c>
      <c r="D14" s="20">
        <f>[4]BS17A!$U13</f>
        <v>4300</v>
      </c>
      <c r="E14" s="21">
        <f>[4]BS17A!$V13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[4]BS17A!$D14</f>
        <v>0</v>
      </c>
      <c r="D15" s="24">
        <f>[4]BS17A!$U14</f>
        <v>5400</v>
      </c>
      <c r="E15" s="25">
        <f>[4]BS17A!$V14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[4]BS17A!$D15</f>
        <v>6756</v>
      </c>
      <c r="D16" s="24">
        <f>[4]BS17A!$U15</f>
        <v>11590</v>
      </c>
      <c r="E16" s="25">
        <f>[4]BS17A!$V15</f>
        <v>78302040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[4]BS17A!$D16</f>
        <v>0</v>
      </c>
      <c r="D17" s="24">
        <f>[4]BS17A!$U16</f>
        <v>6920</v>
      </c>
      <c r="E17" s="25">
        <f>[4]BS17A!$V16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[4]BS17A!$D17</f>
        <v>0</v>
      </c>
      <c r="D18" s="24">
        <f>[4]BS17A!$U17</f>
        <v>7590</v>
      </c>
      <c r="E18" s="25">
        <f>[4]BS17A!$V17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[4]BS17A!$D20</f>
        <v>0</v>
      </c>
      <c r="D19" s="24">
        <f>[4]BS17A!$U20</f>
        <v>5860</v>
      </c>
      <c r="E19" s="25">
        <f>[4]BS17A!$V20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[4]BS17A!$D21</f>
        <v>0</v>
      </c>
      <c r="D20" s="24">
        <f>[4]BS17A!$U21</f>
        <v>7020</v>
      </c>
      <c r="E20" s="25">
        <f>[4]BS17A!$V21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[4]BS17A!$D22</f>
        <v>0</v>
      </c>
      <c r="D21" s="24">
        <f>[4]BS17A!$U22</f>
        <v>8710</v>
      </c>
      <c r="E21" s="25">
        <f>[4]BS17A!$V22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[4]BS17A!$D23</f>
        <v>2092</v>
      </c>
      <c r="D22" s="24">
        <f>[4]BS17A!$U23</f>
        <v>5860</v>
      </c>
      <c r="E22" s="25">
        <f>[4]BS17A!$V23</f>
        <v>12259120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[4]BS17A!$D24</f>
        <v>1395</v>
      </c>
      <c r="D23" s="24">
        <f>[4]BS17A!$U24</f>
        <v>7020</v>
      </c>
      <c r="E23" s="25">
        <f>[4]BS17A!$V24</f>
        <v>9792900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[4]BS17A!$D25</f>
        <v>2373</v>
      </c>
      <c r="D24" s="24">
        <f>[4]BS17A!$U25</f>
        <v>8710</v>
      </c>
      <c r="E24" s="25">
        <f>[4]BS17A!$V25</f>
        <v>20668830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+[4]BS17A!$D795</f>
        <v>152</v>
      </c>
      <c r="D25" s="24">
        <f>+[4]BS17A!$U795</f>
        <v>7110</v>
      </c>
      <c r="E25" s="25">
        <f>+[4]BS17A!$V795</f>
        <v>1080720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+[4]BS17A!$D800</f>
        <v>0</v>
      </c>
      <c r="D26" s="31">
        <f>+[4]BS17A!$U800</f>
        <v>29440</v>
      </c>
      <c r="E26" s="32">
        <f>+[4]BS17A!$V800</f>
        <v>0</v>
      </c>
      <c r="F26" s="8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8"/>
    </row>
    <row r="28" spans="1:6" ht="15" customHeight="1" x14ac:dyDescent="0.2">
      <c r="A28" s="17" t="s">
        <v>41</v>
      </c>
      <c r="B28" s="18" t="s">
        <v>42</v>
      </c>
      <c r="C28" s="33">
        <f>[4]BS17A!$D27</f>
        <v>2502</v>
      </c>
      <c r="D28" s="20">
        <f>[4]BS17A!$U27</f>
        <v>1140</v>
      </c>
      <c r="E28" s="21">
        <f>[4]BS17A!$V27</f>
        <v>2852280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[4]BS17A!$D28</f>
        <v>0</v>
      </c>
      <c r="D29" s="24">
        <f>[4]BS17A!$U28</f>
        <v>1960</v>
      </c>
      <c r="E29" s="25">
        <f>[4]BS17A!$V28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[4]BS17A!$D29</f>
        <v>0</v>
      </c>
      <c r="D30" s="24">
        <f>[4]BS17A!$U29</f>
        <v>630</v>
      </c>
      <c r="E30" s="25">
        <f>[4]BS17A!$V29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[4]BS17A!$D30</f>
        <v>132</v>
      </c>
      <c r="D31" s="24">
        <f>[4]BS17A!$U30</f>
        <v>1550</v>
      </c>
      <c r="E31" s="25">
        <f>[4]BS17A!$V30</f>
        <v>204600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[4]BS17A!$D31</f>
        <v>1158</v>
      </c>
      <c r="D32" s="24">
        <f>[4]BS17A!$U31</f>
        <v>1250</v>
      </c>
      <c r="E32" s="25">
        <f>[4]BS17A!$V31</f>
        <v>1447500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[4]BS17A!$D32</f>
        <v>0</v>
      </c>
      <c r="D33" s="24">
        <f>[4]BS17A!$U32</f>
        <v>1140</v>
      </c>
      <c r="E33" s="25">
        <f>[4]BS17A!$V32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+[4]BS17A!$D796</f>
        <v>390</v>
      </c>
      <c r="D34" s="24">
        <f>+[4]BS17A!$U796</f>
        <v>2780</v>
      </c>
      <c r="E34" s="25">
        <f>+[4]BS17A!$V796</f>
        <v>1084200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+[4]BS17A!$D797</f>
        <v>501</v>
      </c>
      <c r="D35" s="24">
        <f>+[4]BS17A!$U797</f>
        <v>2780</v>
      </c>
      <c r="E35" s="25">
        <f>+[4]BS17A!$V797</f>
        <v>1392780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+[4]BS17A!$D798</f>
        <v>4</v>
      </c>
      <c r="D36" s="24">
        <f>+[4]BS17A!$U798</f>
        <v>11080</v>
      </c>
      <c r="E36" s="25">
        <f>+[4]BS17A!$V798</f>
        <v>44320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+[4]BS17A!$D799</f>
        <v>51</v>
      </c>
      <c r="D37" s="31">
        <f>+[4]BS17A!$U799</f>
        <v>12980</v>
      </c>
      <c r="E37" s="32">
        <f>+[4]BS17A!$V799</f>
        <v>661980</v>
      </c>
      <c r="F37" s="8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8"/>
    </row>
    <row r="39" spans="1:6" ht="15" customHeight="1" x14ac:dyDescent="0.2">
      <c r="A39" s="17" t="s">
        <v>62</v>
      </c>
      <c r="B39" s="36" t="s">
        <v>63</v>
      </c>
      <c r="C39" s="33">
        <f>+[4]BS17A!$D801</f>
        <v>0</v>
      </c>
      <c r="D39" s="37">
        <f>+[4]BS17A!$U801</f>
        <v>3657</v>
      </c>
      <c r="E39" s="38">
        <f>+[4]BS17A!$V801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+[4]BS17A!$D802</f>
        <v>0</v>
      </c>
      <c r="D40" s="40">
        <f>+[4]BS17A!$U802</f>
        <v>9455</v>
      </c>
      <c r="E40" s="41">
        <f>+[4]BS17A!$V802</f>
        <v>0</v>
      </c>
      <c r="F40" s="8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8"/>
    </row>
    <row r="42" spans="1:6" ht="15" customHeight="1" x14ac:dyDescent="0.2">
      <c r="A42" s="17" t="s">
        <v>67</v>
      </c>
      <c r="B42" s="42" t="s">
        <v>68</v>
      </c>
      <c r="C42" s="33">
        <f>+[4]BS17A!$D34</f>
        <v>98</v>
      </c>
      <c r="D42" s="37">
        <f>+[4]BS17A!$U34</f>
        <v>3750</v>
      </c>
      <c r="E42" s="38">
        <f>+[4]BS17A!$V34</f>
        <v>367500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+[4]BS17A!$D35</f>
        <v>242</v>
      </c>
      <c r="D43" s="24">
        <f>+[4]BS17A!$U35</f>
        <v>2060</v>
      </c>
      <c r="E43" s="25">
        <f>+[4]BS17A!$V35</f>
        <v>498520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+[4]BS17A!$D36</f>
        <v>0</v>
      </c>
      <c r="D44" s="24">
        <f>+[4]BS17A!$U36</f>
        <v>2060</v>
      </c>
      <c r="E44" s="25">
        <f>+[4]BS17A!$V36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+[4]BS17A!$D37</f>
        <v>480</v>
      </c>
      <c r="D45" s="40">
        <f>+[4]BS17A!$U37</f>
        <v>630</v>
      </c>
      <c r="E45" s="41">
        <f>+[4]BS17A!$V37</f>
        <v>302400</v>
      </c>
      <c r="F45" s="8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8"/>
    </row>
    <row r="47" spans="1:6" ht="15" customHeight="1" x14ac:dyDescent="0.2">
      <c r="A47" s="17" t="s">
        <v>76</v>
      </c>
      <c r="B47" s="42" t="s">
        <v>77</v>
      </c>
      <c r="C47" s="33">
        <f>+[4]BS17A!$D39</f>
        <v>17</v>
      </c>
      <c r="D47" s="37">
        <f>+[4]BS17A!$U39</f>
        <v>1780</v>
      </c>
      <c r="E47" s="38">
        <f>+[4]BS17A!$V39</f>
        <v>30260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+[4]BS17A!$D40</f>
        <v>21</v>
      </c>
      <c r="D48" s="24">
        <f>+[4]BS17A!$U40</f>
        <v>1780</v>
      </c>
      <c r="E48" s="25">
        <f>+[4]BS17A!$V40</f>
        <v>37380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+[4]BS17A!$D41</f>
        <v>0</v>
      </c>
      <c r="D49" s="40">
        <f>+[4]BS17A!$U41</f>
        <v>1030</v>
      </c>
      <c r="E49" s="41">
        <f>+[4]BS17A!$V41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18364</v>
      </c>
      <c r="D50" s="46"/>
      <c r="E50" s="47">
        <f>SUM(E14:E49)</f>
        <v>131027330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9" t="s">
        <v>83</v>
      </c>
      <c r="B53" s="760"/>
      <c r="C53" s="760"/>
      <c r="D53" s="760"/>
      <c r="E53" s="761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242" t="s">
        <v>10</v>
      </c>
      <c r="D54" s="53"/>
      <c r="E54" s="244" t="s">
        <v>12</v>
      </c>
      <c r="F54" s="8"/>
    </row>
    <row r="55" spans="1:7" ht="18" customHeight="1" x14ac:dyDescent="0.2">
      <c r="A55" s="245" t="s">
        <v>85</v>
      </c>
      <c r="B55" s="55" t="s">
        <v>86</v>
      </c>
      <c r="C55" s="56">
        <f>+[4]BS17!$D12</f>
        <v>66527</v>
      </c>
      <c r="D55" s="57"/>
      <c r="E55" s="58">
        <f>+E56+E57+E58+E59+E60+E61+E65+E66+E67</f>
        <v>93767400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+[4]BS17!$D13</f>
        <v>27427</v>
      </c>
      <c r="D56" s="61"/>
      <c r="E56" s="62">
        <f>+[4]BS17A!V83</f>
        <v>29236800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+[4]BS17!$D14</f>
        <v>27503</v>
      </c>
      <c r="D57" s="63"/>
      <c r="E57" s="64">
        <f>+[4]BS17A!V174</f>
        <v>33511430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+[4]BS17!$D15</f>
        <v>1035</v>
      </c>
      <c r="D58" s="63"/>
      <c r="E58" s="64">
        <f>+[4]BS17A!V243</f>
        <v>3693150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+[4]BS17!$D16</f>
        <v>0</v>
      </c>
      <c r="D59" s="63"/>
      <c r="E59" s="64">
        <f>+[4]BS17A!V289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+[4]BS17!$D17</f>
        <v>1708</v>
      </c>
      <c r="D60" s="67"/>
      <c r="E60" s="68">
        <f>+[4]BS17A!V295</f>
        <v>8300800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+[4]BS17!$D18</f>
        <v>5593</v>
      </c>
      <c r="D61" s="71"/>
      <c r="E61" s="72">
        <f>SUM(E62:E64)</f>
        <v>14566350</v>
      </c>
      <c r="F61" s="8"/>
    </row>
    <row r="62" spans="1:7" ht="15" customHeight="1" x14ac:dyDescent="0.2">
      <c r="A62" s="73"/>
      <c r="B62" s="42" t="s">
        <v>99</v>
      </c>
      <c r="C62" s="33">
        <f>+[4]BS17!$D19</f>
        <v>4799</v>
      </c>
      <c r="D62" s="74"/>
      <c r="E62" s="75">
        <f>+[4]BS17A!V362</f>
        <v>11285540</v>
      </c>
      <c r="F62" s="8"/>
    </row>
    <row r="63" spans="1:7" ht="15" customHeight="1" x14ac:dyDescent="0.2">
      <c r="A63" s="73"/>
      <c r="B63" s="27" t="s">
        <v>100</v>
      </c>
      <c r="C63" s="19">
        <f>+[4]BS17!$D20</f>
        <v>41</v>
      </c>
      <c r="D63" s="63"/>
      <c r="E63" s="64">
        <f>+[4]BS17A!V405</f>
        <v>113860</v>
      </c>
      <c r="F63" s="8"/>
    </row>
    <row r="64" spans="1:7" ht="15" customHeight="1" x14ac:dyDescent="0.2">
      <c r="A64" s="76"/>
      <c r="B64" s="43" t="s">
        <v>101</v>
      </c>
      <c r="C64" s="30">
        <f>+[4]BS17!$D21</f>
        <v>753</v>
      </c>
      <c r="D64" s="77"/>
      <c r="E64" s="78">
        <f>+[4]BS17A!V428</f>
        <v>3166950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+[4]BS17!$D22</f>
        <v>22</v>
      </c>
      <c r="D65" s="61"/>
      <c r="E65" s="62">
        <f>+[4]BS17A!V446</f>
        <v>232320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+[4]BS17!$D23</f>
        <v>71</v>
      </c>
      <c r="D66" s="63"/>
      <c r="E66" s="64">
        <f>+[4]BS17A!V456</f>
        <v>146180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+[4]BS17!$D24</f>
        <v>3168</v>
      </c>
      <c r="D67" s="67"/>
      <c r="E67" s="68">
        <f>+[4]BS17A!V500</f>
        <v>4080370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+[4]BS17!$D25</f>
        <v>4891</v>
      </c>
      <c r="D68" s="83"/>
      <c r="E68" s="84">
        <f>SUM(E69:E74)</f>
        <v>83270830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+[4]BS17!$D26</f>
        <v>2894</v>
      </c>
      <c r="D69" s="63"/>
      <c r="E69" s="64">
        <f>+[4]BS17A!V535</f>
        <v>23818160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+[4]BS17!$D27</f>
        <v>8</v>
      </c>
      <c r="D70" s="63"/>
      <c r="E70" s="64">
        <f>+[4]BS17A!V590</f>
        <v>155520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+[4]BS17!$D28</f>
        <v>848</v>
      </c>
      <c r="D71" s="63"/>
      <c r="E71" s="64">
        <f>+[4]BS17A!V615</f>
        <v>44762240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+[4]BS17!$D30+[4]BS17!$D32</f>
        <v>905</v>
      </c>
      <c r="D72" s="63"/>
      <c r="E72" s="64">
        <f>+[4]BS17A!V633-[4]BS17A!V634</f>
        <v>13298270</v>
      </c>
      <c r="F72" s="8"/>
    </row>
    <row r="73" spans="1:7" ht="15" customHeight="1" x14ac:dyDescent="0.2">
      <c r="A73" s="85"/>
      <c r="B73" s="27" t="s">
        <v>118</v>
      </c>
      <c r="C73" s="19">
        <f>+[4]BS17!$D31</f>
        <v>236</v>
      </c>
      <c r="D73" s="63"/>
      <c r="E73" s="64">
        <f>+[4]BS17A!V634</f>
        <v>1236640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+[4]BS17!$D33</f>
        <v>0</v>
      </c>
      <c r="D74" s="89"/>
      <c r="E74" s="90">
        <f>+[4]BS17A!V654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+[4]BS17!$D34</f>
        <v>0</v>
      </c>
      <c r="D75" s="94"/>
      <c r="E75" s="95">
        <f>+[4]BS17A!V783</f>
        <v>0</v>
      </c>
      <c r="F75" s="8"/>
    </row>
    <row r="76" spans="1:7" ht="15" customHeight="1" x14ac:dyDescent="0.2">
      <c r="A76" s="96"/>
      <c r="B76" s="246" t="s">
        <v>123</v>
      </c>
      <c r="C76" s="56">
        <f>+C55+C68+C75</f>
        <v>71418</v>
      </c>
      <c r="D76" s="57"/>
      <c r="E76" s="98">
        <f>+E55+E68+E75</f>
        <v>177038230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53" t="s">
        <v>124</v>
      </c>
      <c r="B79" s="754"/>
      <c r="C79" s="754"/>
      <c r="D79" s="754"/>
      <c r="E79" s="755"/>
      <c r="F79" s="51"/>
      <c r="G79" s="52"/>
    </row>
    <row r="80" spans="1:7" ht="45" customHeight="1" x14ac:dyDescent="0.2">
      <c r="A80" s="11" t="s">
        <v>8</v>
      </c>
      <c r="B80" s="243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+[4]BS17!D49</f>
        <v>0</v>
      </c>
      <c r="D81" s="61"/>
      <c r="E81" s="103">
        <f>+SUM([4]BS17A!V673+[4]BS17A!V719)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+[4]BS17!E130</f>
        <v>1752</v>
      </c>
      <c r="D82" s="63"/>
      <c r="E82" s="105">
        <f>+[4]BS17A!V1574</f>
        <v>13834830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+[4]BS17A!D1849</f>
        <v>37</v>
      </c>
      <c r="D83" s="67"/>
      <c r="E83" s="106">
        <f>+[4]BS17A!V1849</f>
        <v>2633070</v>
      </c>
      <c r="F83" s="8"/>
    </row>
    <row r="84" spans="1:6" ht="17.25" customHeight="1" x14ac:dyDescent="0.2">
      <c r="A84" s="96"/>
      <c r="B84" s="246" t="s">
        <v>130</v>
      </c>
      <c r="C84" s="56">
        <f>+SUM(C81:C83)</f>
        <v>1789</v>
      </c>
      <c r="D84" s="57"/>
      <c r="E84" s="107">
        <f>SUM(E81:E83)</f>
        <v>16467900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243" t="s">
        <v>132</v>
      </c>
      <c r="D89" s="108" t="s">
        <v>133</v>
      </c>
      <c r="E89" s="13" t="s">
        <v>134</v>
      </c>
      <c r="F89" s="24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+[4]BS17!F68</f>
        <v>0</v>
      </c>
      <c r="D90" s="110">
        <f>+[4]BS17!G68</f>
        <v>0</v>
      </c>
      <c r="E90" s="111">
        <f>+[4]BS17!H68</f>
        <v>0</v>
      </c>
      <c r="F90" s="112">
        <f>[4]BS17A!V811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+[4]BS17!F69</f>
        <v>255</v>
      </c>
      <c r="D91" s="114">
        <f>+[4]BS17!G69</f>
        <v>1</v>
      </c>
      <c r="E91" s="115">
        <f>+[4]BS17!H69</f>
        <v>0</v>
      </c>
      <c r="F91" s="116">
        <f>[4]BS17A!V882</f>
        <v>102845390</v>
      </c>
    </row>
    <row r="92" spans="1:6" ht="15" customHeight="1" x14ac:dyDescent="0.2">
      <c r="A92" s="22" t="s">
        <v>139</v>
      </c>
      <c r="B92" s="27" t="s">
        <v>140</v>
      </c>
      <c r="C92" s="113">
        <f>+[4]BS17!F70</f>
        <v>29</v>
      </c>
      <c r="D92" s="114">
        <f>+[4]BS17!G70</f>
        <v>3</v>
      </c>
      <c r="E92" s="115">
        <f>+[4]BS17!H70</f>
        <v>0</v>
      </c>
      <c r="F92" s="116">
        <f>[4]BS17A!V961</f>
        <v>3378595</v>
      </c>
    </row>
    <row r="93" spans="1:6" ht="15" customHeight="1" x14ac:dyDescent="0.2">
      <c r="A93" s="22" t="s">
        <v>141</v>
      </c>
      <c r="B93" s="27" t="s">
        <v>142</v>
      </c>
      <c r="C93" s="113">
        <f>+[4]BS17!F71</f>
        <v>5</v>
      </c>
      <c r="D93" s="114">
        <f>+[4]BS17!G71</f>
        <v>0</v>
      </c>
      <c r="E93" s="115">
        <f>+[4]BS17!H71</f>
        <v>0</v>
      </c>
      <c r="F93" s="116">
        <f>[4]BS17A!V1037</f>
        <v>967220</v>
      </c>
    </row>
    <row r="94" spans="1:6" ht="15" customHeight="1" x14ac:dyDescent="0.2">
      <c r="A94" s="22" t="s">
        <v>143</v>
      </c>
      <c r="B94" s="27" t="s">
        <v>144</v>
      </c>
      <c r="C94" s="113">
        <f>+[4]BS17!F72</f>
        <v>60</v>
      </c>
      <c r="D94" s="114">
        <f>+[4]BS17!G72</f>
        <v>1</v>
      </c>
      <c r="E94" s="115">
        <f>+[4]BS17!H72</f>
        <v>0</v>
      </c>
      <c r="F94" s="116">
        <f>[4]BS17A!V1098</f>
        <v>2716030</v>
      </c>
    </row>
    <row r="95" spans="1:6" ht="15" customHeight="1" x14ac:dyDescent="0.2">
      <c r="A95" s="22" t="s">
        <v>145</v>
      </c>
      <c r="B95" s="27" t="s">
        <v>146</v>
      </c>
      <c r="C95" s="113">
        <f>+[4]BS17!F73</f>
        <v>106</v>
      </c>
      <c r="D95" s="114">
        <f>+[4]BS17!G73</f>
        <v>2</v>
      </c>
      <c r="E95" s="115">
        <f>+[4]BS17!H73</f>
        <v>0</v>
      </c>
      <c r="F95" s="116">
        <f>[4]BS17A!V1166</f>
        <v>2320730</v>
      </c>
    </row>
    <row r="96" spans="1:6" ht="15" customHeight="1" x14ac:dyDescent="0.2">
      <c r="A96" s="22" t="s">
        <v>147</v>
      </c>
      <c r="B96" s="27" t="s">
        <v>148</v>
      </c>
      <c r="C96" s="113">
        <f>+[4]BS17!F74</f>
        <v>10</v>
      </c>
      <c r="D96" s="114">
        <f>+[4]BS17!G74</f>
        <v>1</v>
      </c>
      <c r="E96" s="115">
        <f>+[4]BS17!H74</f>
        <v>0</v>
      </c>
      <c r="F96" s="116">
        <f>[4]BS17A!V1221</f>
        <v>2018645</v>
      </c>
    </row>
    <row r="97" spans="1:6" ht="15" customHeight="1" x14ac:dyDescent="0.2">
      <c r="A97" s="22" t="s">
        <v>149</v>
      </c>
      <c r="B97" s="27" t="s">
        <v>150</v>
      </c>
      <c r="C97" s="113">
        <f>+[4]BS17!F75</f>
        <v>2</v>
      </c>
      <c r="D97" s="114">
        <f>+[4]BS17!G75</f>
        <v>1</v>
      </c>
      <c r="E97" s="115">
        <f>+[4]BS17!H75</f>
        <v>0</v>
      </c>
      <c r="F97" s="116">
        <f>[4]BS17A!V1287</f>
        <v>135475</v>
      </c>
    </row>
    <row r="98" spans="1:6" ht="15" customHeight="1" x14ac:dyDescent="0.2">
      <c r="A98" s="22" t="s">
        <v>151</v>
      </c>
      <c r="B98" s="27" t="s">
        <v>152</v>
      </c>
      <c r="C98" s="113">
        <f>+[4]BS17!F76</f>
        <v>170</v>
      </c>
      <c r="D98" s="114">
        <f>+[4]BS17!G76</f>
        <v>10</v>
      </c>
      <c r="E98" s="115">
        <f>+[4]BS17!H76</f>
        <v>0</v>
      </c>
      <c r="F98" s="116">
        <f>[4]BS17A!V1357</f>
        <v>41262425</v>
      </c>
    </row>
    <row r="99" spans="1:6" ht="15" customHeight="1" x14ac:dyDescent="0.2">
      <c r="A99" s="22" t="s">
        <v>153</v>
      </c>
      <c r="B99" s="27" t="s">
        <v>154</v>
      </c>
      <c r="C99" s="113">
        <f>+[4]BS17!F77</f>
        <v>6</v>
      </c>
      <c r="D99" s="114">
        <f>+[4]BS17!G77</f>
        <v>1</v>
      </c>
      <c r="E99" s="115">
        <f>+[4]BS17!H77</f>
        <v>0</v>
      </c>
      <c r="F99" s="116">
        <f>[4]BS17A!V1441</f>
        <v>309755</v>
      </c>
    </row>
    <row r="100" spans="1:6" ht="15" customHeight="1" x14ac:dyDescent="0.2">
      <c r="A100" s="22" t="s">
        <v>155</v>
      </c>
      <c r="B100" s="27" t="s">
        <v>156</v>
      </c>
      <c r="C100" s="113">
        <f>+[4]BS17!F78</f>
        <v>39</v>
      </c>
      <c r="D100" s="114">
        <f>+[4]BS17!G78</f>
        <v>3</v>
      </c>
      <c r="E100" s="115">
        <f>+[4]BS17!H78</f>
        <v>0</v>
      </c>
      <c r="F100" s="116">
        <f>[4]BS17A!V1489</f>
        <v>7708055</v>
      </c>
    </row>
    <row r="101" spans="1:6" ht="15" customHeight="1" x14ac:dyDescent="0.2">
      <c r="A101" s="22" t="s">
        <v>157</v>
      </c>
      <c r="B101" s="27" t="s">
        <v>158</v>
      </c>
      <c r="C101" s="113">
        <f>+[4]BS17!F79</f>
        <v>9</v>
      </c>
      <c r="D101" s="114">
        <f>+[4]BS17!G79</f>
        <v>0</v>
      </c>
      <c r="E101" s="115">
        <f>+[4]BS17!H79</f>
        <v>0</v>
      </c>
      <c r="F101" s="116">
        <f>[4]BS17A!V1592</f>
        <v>2541300</v>
      </c>
    </row>
    <row r="102" spans="1:6" ht="15" customHeight="1" x14ac:dyDescent="0.2">
      <c r="A102" s="65" t="s">
        <v>159</v>
      </c>
      <c r="B102" s="29" t="s">
        <v>160</v>
      </c>
      <c r="C102" s="117">
        <f>+[4]BS17!F80</f>
        <v>40</v>
      </c>
      <c r="D102" s="118">
        <f>+[4]BS17!G80</f>
        <v>3</v>
      </c>
      <c r="E102" s="119">
        <f>+[4]BS17!H80</f>
        <v>0</v>
      </c>
      <c r="F102" s="120">
        <f>[4]BS17A!V1597</f>
        <v>6779490</v>
      </c>
    </row>
    <row r="103" spans="1:6" ht="15" customHeight="1" x14ac:dyDescent="0.2">
      <c r="A103" s="17" t="s">
        <v>161</v>
      </c>
      <c r="B103" s="36" t="s">
        <v>162</v>
      </c>
      <c r="C103" s="109">
        <f>+[4]BS17!F81</f>
        <v>68</v>
      </c>
      <c r="D103" s="110">
        <f>+[4]BS17!G81</f>
        <v>1</v>
      </c>
      <c r="E103" s="111">
        <f>+[4]BS17!H81</f>
        <v>0</v>
      </c>
      <c r="F103" s="112">
        <f>+[4]BS17A!V1631</f>
        <v>8273815</v>
      </c>
    </row>
    <row r="104" spans="1:6" ht="15" customHeight="1" x14ac:dyDescent="0.2">
      <c r="A104" s="22"/>
      <c r="B104" s="27" t="s">
        <v>163</v>
      </c>
      <c r="C104" s="113">
        <f>+[4]BS17A!D1635</f>
        <v>1</v>
      </c>
      <c r="D104" s="114">
        <f>+[4]BS17A!F1635</f>
        <v>0</v>
      </c>
      <c r="E104" s="115">
        <f>+[4]BS17A!G1635</f>
        <v>0</v>
      </c>
      <c r="F104" s="116">
        <f>+[4]BS17A!V1635</f>
        <v>260990</v>
      </c>
    </row>
    <row r="105" spans="1:6" ht="15" customHeight="1" x14ac:dyDescent="0.2">
      <c r="A105" s="22"/>
      <c r="B105" s="27" t="s">
        <v>164</v>
      </c>
      <c r="C105" s="113">
        <f>+[4]BS17A!D1634</f>
        <v>38</v>
      </c>
      <c r="D105" s="114">
        <f>+[4]BS17A!F1634</f>
        <v>0</v>
      </c>
      <c r="E105" s="115">
        <f>+[4]BS17A!G1634</f>
        <v>0</v>
      </c>
      <c r="F105" s="116">
        <f>+[4]BS17A!V1634</f>
        <v>5047160</v>
      </c>
    </row>
    <row r="106" spans="1:6" ht="15" customHeight="1" x14ac:dyDescent="0.2">
      <c r="A106" s="28"/>
      <c r="B106" s="39" t="s">
        <v>165</v>
      </c>
      <c r="C106" s="121">
        <f>+[4]BS17A!D1632+[4]BS17A!D1633</f>
        <v>29</v>
      </c>
      <c r="D106" s="122">
        <f>+[4]BS17A!F1632+[4]BS17A!F1633</f>
        <v>1</v>
      </c>
      <c r="E106" s="123">
        <f>+[4]BS17A!G1632+[4]BS17A!G1633</f>
        <v>0</v>
      </c>
      <c r="F106" s="124">
        <f>+[4]BS17A!V1632+[4]BS17A!V1633</f>
        <v>2965665</v>
      </c>
    </row>
    <row r="107" spans="1:6" ht="15" customHeight="1" x14ac:dyDescent="0.2">
      <c r="A107" s="59" t="s">
        <v>166</v>
      </c>
      <c r="B107" s="79" t="s">
        <v>167</v>
      </c>
      <c r="C107" s="125">
        <f>+[4]BS17!F82</f>
        <v>42</v>
      </c>
      <c r="D107" s="126">
        <f>+[4]BS17!G82</f>
        <v>2</v>
      </c>
      <c r="E107" s="127">
        <f>+[4]BS17!H82</f>
        <v>0</v>
      </c>
      <c r="F107" s="128">
        <f>+[4]BS17A!V1639</f>
        <v>8521000</v>
      </c>
    </row>
    <row r="108" spans="1:6" ht="15" customHeight="1" x14ac:dyDescent="0.2">
      <c r="A108" s="129">
        <v>2106</v>
      </c>
      <c r="B108" s="39" t="s">
        <v>168</v>
      </c>
      <c r="C108" s="121">
        <f>[4]BS17A!D1845</f>
        <v>8</v>
      </c>
      <c r="D108" s="122">
        <f>[4]BS17A!F1845</f>
        <v>0</v>
      </c>
      <c r="E108" s="123">
        <f>[4]BS17A!G1845</f>
        <v>0</v>
      </c>
      <c r="F108" s="124">
        <f>+[4]BS17A!V1845</f>
        <v>444400</v>
      </c>
    </row>
    <row r="109" spans="1:6" ht="15" customHeight="1" x14ac:dyDescent="0.2">
      <c r="A109" s="130"/>
      <c r="B109" s="131" t="s">
        <v>169</v>
      </c>
      <c r="C109" s="132">
        <f>SUM(C90:C108)-C103</f>
        <v>849</v>
      </c>
      <c r="D109" s="133">
        <f>SUM(D90:D108)-D103</f>
        <v>29</v>
      </c>
      <c r="E109" s="134">
        <f>+SUM(E90:E103)+E107+E108</f>
        <v>0</v>
      </c>
      <c r="F109" s="135">
        <f>+SUM(F90:F103)+F107+F108</f>
        <v>190222325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53" t="s">
        <v>170</v>
      </c>
      <c r="B112" s="754"/>
      <c r="C112" s="754"/>
      <c r="D112" s="754"/>
      <c r="E112" s="755"/>
      <c r="F112" s="5"/>
    </row>
    <row r="113" spans="1:6" ht="49.5" customHeight="1" x14ac:dyDescent="0.2">
      <c r="A113" s="11" t="s">
        <v>8</v>
      </c>
      <c r="B113" s="11" t="s">
        <v>9</v>
      </c>
      <c r="C113" s="242" t="s">
        <v>10</v>
      </c>
      <c r="D113" s="13" t="s">
        <v>11</v>
      </c>
      <c r="E113" s="24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+[4]BS17A!D1636</f>
        <v>107</v>
      </c>
      <c r="D114" s="136">
        <f>+[4]BS17A!U1636</f>
        <v>132810</v>
      </c>
      <c r="E114" s="137">
        <f>+[4]BS17A!V1636</f>
        <v>14210670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+[4]BS17A!D1637</f>
        <v>4</v>
      </c>
      <c r="D115" s="139">
        <f>+[4]BS17A!U1637</f>
        <v>139740</v>
      </c>
      <c r="E115" s="106">
        <f>+[4]BS17A!V1637</f>
        <v>558960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111</v>
      </c>
      <c r="D116" s="57"/>
      <c r="E116" s="107">
        <f>SUM(E114:E115)</f>
        <v>14769630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64" t="s">
        <v>176</v>
      </c>
      <c r="B119" s="764"/>
      <c r="C119" s="764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+[4]BS17A!V1871+[4]BS17A!V1889+[4]BS17A!V1914</f>
        <v>12326790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53" t="s">
        <v>179</v>
      </c>
      <c r="B124" s="754"/>
      <c r="C124" s="754"/>
      <c r="D124" s="754"/>
      <c r="E124" s="755"/>
      <c r="F124" s="5"/>
    </row>
    <row r="125" spans="1:6" ht="45.75" customHeight="1" x14ac:dyDescent="0.2">
      <c r="A125" s="11" t="s">
        <v>8</v>
      </c>
      <c r="B125" s="11" t="s">
        <v>9</v>
      </c>
      <c r="C125" s="242" t="s">
        <v>10</v>
      </c>
      <c r="D125" s="13" t="s">
        <v>11</v>
      </c>
      <c r="E125" s="24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+[4]BS17A!$D59</f>
        <v>6102</v>
      </c>
      <c r="D126" s="37">
        <f>+[4]BS17A!$U59</f>
        <v>34010</v>
      </c>
      <c r="E126" s="145">
        <f>+[4]BS17A!$V59</f>
        <v>207529020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+[4]BS17A!$D60</f>
        <v>0</v>
      </c>
      <c r="D127" s="24">
        <f>+[4]BS17A!$U60</f>
        <v>31310</v>
      </c>
      <c r="E127" s="146">
        <f>+[4]BS17A!$V60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+[4]BS17A!$D61</f>
        <v>0</v>
      </c>
      <c r="D128" s="24">
        <f>+[4]BS17A!$U61</f>
        <v>26100</v>
      </c>
      <c r="E128" s="146">
        <f>+[4]BS17A!$V61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SUM([4]BS17A!D62:D64)</f>
        <v>228</v>
      </c>
      <c r="D129" s="24">
        <f>+[4]BS17A!$U62</f>
        <v>141410</v>
      </c>
      <c r="E129" s="146">
        <f>SUM([4]BS17A!V62:V64)</f>
        <v>32241480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SUM([4]BS17A!D65:D67)</f>
        <v>264</v>
      </c>
      <c r="D130" s="24">
        <f>+[4]BS17A!$U65</f>
        <v>68290</v>
      </c>
      <c r="E130" s="146">
        <f>SUM([4]BS17A!V65:V67)</f>
        <v>18028560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+[4]BS17A!D68</f>
        <v>183</v>
      </c>
      <c r="D131" s="24">
        <f>+[4]BS17A!$U68</f>
        <v>61270</v>
      </c>
      <c r="E131" s="146">
        <f>+[4]BS17A!$V68</f>
        <v>11212410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+[4]BS17A!$D69</f>
        <v>0</v>
      </c>
      <c r="D132" s="24">
        <f>+[4]BS17A!$U69</f>
        <v>17390</v>
      </c>
      <c r="E132" s="146">
        <f>+[4]BS17A!$V69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+[4]BS17A!$D70</f>
        <v>0</v>
      </c>
      <c r="D133" s="24">
        <f>+[4]BS17A!$U70</f>
        <v>27240</v>
      </c>
      <c r="E133" s="146">
        <f>+[4]BS17A!$V70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+[4]BS17A!$D73</f>
        <v>0</v>
      </c>
      <c r="D134" s="24">
        <f>+[4]BS17A!$U73</f>
        <v>27470</v>
      </c>
      <c r="E134" s="146">
        <f>+[4]BS17A!$V73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+[4]BS17A!$D71</f>
        <v>0</v>
      </c>
      <c r="D135" s="24">
        <f>+[4]BS17A!$U71</f>
        <v>28360</v>
      </c>
      <c r="E135" s="146">
        <f>+[4]BS17A!$V71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+[4]BS17A!$D76</f>
        <v>0</v>
      </c>
      <c r="D136" s="24">
        <f>+[4]BS17A!$U76</f>
        <v>34010</v>
      </c>
      <c r="E136" s="146">
        <f>+[4]BS17A!$V76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+[4]BS17A!$D79</f>
        <v>37</v>
      </c>
      <c r="D137" s="24">
        <f>+[4]BS17A!$U79</f>
        <v>6600</v>
      </c>
      <c r="E137" s="146">
        <f>+[4]BS17A!$V79</f>
        <v>244200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+[4]BS17A!$D80</f>
        <v>0</v>
      </c>
      <c r="D138" s="24">
        <f>+[4]BS17A!$U80</f>
        <v>47670</v>
      </c>
      <c r="E138" s="146">
        <f>+[4]BS17A!$V80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6814</v>
      </c>
      <c r="D139" s="149"/>
      <c r="E139" s="150">
        <f>SUM(E126:E138)</f>
        <v>269255670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+[4]BS17A!$D72</f>
        <v>0</v>
      </c>
      <c r="D141" s="24">
        <f>+[4]BS17A!$U72</f>
        <v>11430</v>
      </c>
      <c r="E141" s="146">
        <f>+[4]BS17A!$V72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+[4]BS17A!$D74</f>
        <v>0</v>
      </c>
      <c r="D142" s="24">
        <f>+[4]BS17A!$U74</f>
        <v>11430</v>
      </c>
      <c r="E142" s="146">
        <f>+[4]BS17A!$V74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+[4]BS17A!$D75</f>
        <v>0</v>
      </c>
      <c r="D143" s="24">
        <f>+[4]BS17A!$U75</f>
        <v>5040</v>
      </c>
      <c r="E143" s="146">
        <f>+[4]BS17A!$V75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+[4]BS17A!$D77</f>
        <v>0</v>
      </c>
      <c r="D144" s="24">
        <f>+[4]BS17A!$U77</f>
        <v>91950</v>
      </c>
      <c r="E144" s="146">
        <f>+[4]BS17A!$V77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+[4]BS17A!$D78</f>
        <v>0</v>
      </c>
      <c r="D145" s="24">
        <f>+[4]BS17A!$U78</f>
        <v>10860</v>
      </c>
      <c r="E145" s="146">
        <f>+[4]BS17A!$V78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+[4]BS17A!$D81</f>
        <v>0</v>
      </c>
      <c r="D146" s="24">
        <f>+[4]BS17A!$U81</f>
        <v>8360</v>
      </c>
      <c r="E146" s="146">
        <f>+[4]BS17A!$V81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6814</v>
      </c>
      <c r="D148" s="151"/>
      <c r="E148" s="152">
        <f>+E139+E147</f>
        <v>269255670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45" t="s">
        <v>222</v>
      </c>
      <c r="B151" s="746"/>
      <c r="C151" s="746"/>
      <c r="D151" s="746"/>
      <c r="E151" s="747"/>
      <c r="F151" s="5"/>
    </row>
    <row r="152" spans="1:6" ht="47.25" customHeight="1" x14ac:dyDescent="0.2">
      <c r="A152" s="11" t="s">
        <v>8</v>
      </c>
      <c r="B152" s="11" t="s">
        <v>9</v>
      </c>
      <c r="C152" s="242" t="s">
        <v>10</v>
      </c>
      <c r="D152" s="13" t="s">
        <v>11</v>
      </c>
      <c r="E152" s="24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+[4]BS17A!D43</f>
        <v>294</v>
      </c>
      <c r="D153" s="37">
        <f>[4]BS17A!U43</f>
        <v>780</v>
      </c>
      <c r="E153" s="145">
        <f>+[4]BS17A!V43</f>
        <v>229320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+[4]BS17A!D44+[4]BS17A!D45</f>
        <v>0</v>
      </c>
      <c r="D154" s="40">
        <f>[4]BS17A!U44</f>
        <v>100</v>
      </c>
      <c r="E154" s="153">
        <f>+[4]BS17A!V44+[4]BS17A!V45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294</v>
      </c>
      <c r="D155" s="151"/>
      <c r="E155" s="152">
        <f>SUM(E153:E154)</f>
        <v>229320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5"/>
    </row>
    <row r="159" spans="1:6" ht="47.25" customHeight="1" x14ac:dyDescent="0.2">
      <c r="A159" s="11" t="s">
        <v>8</v>
      </c>
      <c r="B159" s="11" t="s">
        <v>9</v>
      </c>
      <c r="C159" s="242" t="s">
        <v>10</v>
      </c>
      <c r="D159" s="13" t="s">
        <v>11</v>
      </c>
      <c r="E159" s="24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+[4]BS17A!$D1481</f>
        <v>0</v>
      </c>
      <c r="D160" s="37">
        <f>+[4]BS17A!$U1481</f>
        <v>42830</v>
      </c>
      <c r="E160" s="145">
        <f>+[4]BS17A!$V1481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+[4]BS17A!$D1482</f>
        <v>0</v>
      </c>
      <c r="D161" s="24">
        <f>+[4]BS17A!$U1482</f>
        <v>26930</v>
      </c>
      <c r="E161" s="146">
        <f>+[4]BS17A!$V1482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+[4]BS17A!$D1483</f>
        <v>0</v>
      </c>
      <c r="D162" s="24">
        <f>+[4]BS17A!$U1483</f>
        <v>27740</v>
      </c>
      <c r="E162" s="146">
        <f>+[4]BS17A!$V1483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+[4]BS17A!$D1484</f>
        <v>0</v>
      </c>
      <c r="D163" s="24">
        <f>+[4]BS17A!$U1484</f>
        <v>832280</v>
      </c>
      <c r="E163" s="146">
        <f>+[4]BS17A!$V1484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+[4]BS17A!$D1485</f>
        <v>0</v>
      </c>
      <c r="D164" s="24">
        <f>+[4]BS17A!$U1485</f>
        <v>378030</v>
      </c>
      <c r="E164" s="146">
        <f>+[4]BS17A!$V1485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+[4]BS17A!$D1486</f>
        <v>0</v>
      </c>
      <c r="D165" s="24">
        <f>+[4]BS17A!$U1486</f>
        <v>578050</v>
      </c>
      <c r="E165" s="146">
        <f>+[4]BS17A!$V1486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+[4]BS17A!$D1487</f>
        <v>0</v>
      </c>
      <c r="D166" s="24">
        <f>+[4]BS17A!$U1487</f>
        <v>52120</v>
      </c>
      <c r="E166" s="146">
        <f>+[4]BS17A!$V1487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+[4]BS17A!$D1488</f>
        <v>0</v>
      </c>
      <c r="D167" s="40">
        <f>+[4]BS17A!$U1488</f>
        <v>677560</v>
      </c>
      <c r="E167" s="153">
        <f>+[4]BS17A!$V1488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5"/>
    </row>
    <row r="172" spans="1:6" ht="46.5" customHeight="1" x14ac:dyDescent="0.2">
      <c r="A172" s="11" t="s">
        <v>8</v>
      </c>
      <c r="B172" s="11" t="s">
        <v>9</v>
      </c>
      <c r="C172" s="242" t="s">
        <v>10</v>
      </c>
      <c r="D172" s="13" t="s">
        <v>11</v>
      </c>
      <c r="E172" s="244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+[4]BS17A!$D805</f>
        <v>8</v>
      </c>
      <c r="D173" s="37">
        <f>+[4]BS17A!$U805</f>
        <v>14690</v>
      </c>
      <c r="E173" s="145">
        <f>+[4]BS17A!$V805</f>
        <v>117520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+[4]BS17A!$D806</f>
        <v>0</v>
      </c>
      <c r="D174" s="24">
        <f>+[4]BS17A!$U806</f>
        <v>11740</v>
      </c>
      <c r="E174" s="146">
        <f>+[4]BS17A!$V806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+[4]BS17A!$D1197</f>
        <v>642</v>
      </c>
      <c r="D175" s="24">
        <f>+[4]BS17A!$U1197</f>
        <v>5030</v>
      </c>
      <c r="E175" s="146">
        <f>+[4]BS17A!$V1197</f>
        <v>3229260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+[4]BS17A!$D1198</f>
        <v>18</v>
      </c>
      <c r="D176" s="24">
        <f>+[4]BS17A!$U1198</f>
        <v>14180</v>
      </c>
      <c r="E176" s="146">
        <f>+[4]BS17A!$V1198</f>
        <v>255240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+[4]BS17A!$D1199</f>
        <v>48</v>
      </c>
      <c r="D177" s="24">
        <f>+[4]BS17A!$U1199</f>
        <v>24050</v>
      </c>
      <c r="E177" s="146">
        <f>+[4]BS17A!$V1199</f>
        <v>1154400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+[4]BS17A!$D1200</f>
        <v>0</v>
      </c>
      <c r="D178" s="24">
        <f>+[4]BS17A!$U1200</f>
        <v>45920</v>
      </c>
      <c r="E178" s="146">
        <f>+[4]BS17A!$V1200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+[4]BS17A!$D1201</f>
        <v>174</v>
      </c>
      <c r="D179" s="24">
        <f>+[4]BS17A!$U1201</f>
        <v>51180</v>
      </c>
      <c r="E179" s="146">
        <f>+[4]BS17A!$V1201</f>
        <v>8905320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+[4]BS17A!$D1202</f>
        <v>0</v>
      </c>
      <c r="D180" s="24">
        <f>+[4]BS17A!$U1202</f>
        <v>28710</v>
      </c>
      <c r="E180" s="146">
        <f>+[4]BS17A!$V1202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+[4]BS17A!$D1203</f>
        <v>0</v>
      </c>
      <c r="D181" s="24">
        <f>+[4]BS17A!$U1203</f>
        <v>222100</v>
      </c>
      <c r="E181" s="146">
        <f>+[4]BS17A!$V1203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+[4]BS17A!$D1204</f>
        <v>0</v>
      </c>
      <c r="D182" s="24">
        <f>+[4]BS17A!$U1204</f>
        <v>252490</v>
      </c>
      <c r="E182" s="146">
        <f>+[4]BS17A!$V1204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+[4]BS17A!$D1205</f>
        <v>0</v>
      </c>
      <c r="D183" s="24">
        <f>+[4]BS17A!$U1205</f>
        <v>205900</v>
      </c>
      <c r="E183" s="146">
        <f>+[4]BS17A!$V1205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+[4]BS17A!$D1206</f>
        <v>0</v>
      </c>
      <c r="D184" s="24">
        <f>+[4]BS17A!$U1206</f>
        <v>264470</v>
      </c>
      <c r="E184" s="146">
        <f>+[4]BS17A!$V1206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+[4]BS17A!$D1207</f>
        <v>0</v>
      </c>
      <c r="D185" s="24">
        <f>+[4]BS17A!$U1207</f>
        <v>270610</v>
      </c>
      <c r="E185" s="146">
        <f>+[4]BS17A!$V1207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+[4]BS17A!$D1208</f>
        <v>0</v>
      </c>
      <c r="D186" s="24">
        <f>+[4]BS17A!$U1208</f>
        <v>228850</v>
      </c>
      <c r="E186" s="146">
        <f>+[4]BS17A!$V1208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+[4]BS17A!$D1209</f>
        <v>0</v>
      </c>
      <c r="D187" s="24">
        <f>+[4]BS17A!$U1209</f>
        <v>244270</v>
      </c>
      <c r="E187" s="146">
        <f>+[4]BS17A!$V1209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+[4]BS17A!$D1210</f>
        <v>0</v>
      </c>
      <c r="D188" s="24">
        <f>+[4]BS17A!$U1210</f>
        <v>292090</v>
      </c>
      <c r="E188" s="146">
        <f>+[4]BS17A!$V1210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+[4]BS17A!$D1211</f>
        <v>0</v>
      </c>
      <c r="D189" s="24">
        <f>+[4]BS17A!$U1211</f>
        <v>259010</v>
      </c>
      <c r="E189" s="146">
        <f>+[4]BS17A!$V1211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+[4]BS17A!$D1212</f>
        <v>0</v>
      </c>
      <c r="D190" s="24">
        <f>+[4]BS17A!$U1212</f>
        <v>1895520</v>
      </c>
      <c r="E190" s="146">
        <f>+[4]BS17A!$V1212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+[4]BS17A!$D1213</f>
        <v>0</v>
      </c>
      <c r="D191" s="24">
        <f>+[4]BS17A!$U1213</f>
        <v>1183940</v>
      </c>
      <c r="E191" s="146">
        <f>+[4]BS17A!$V1213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+[4]BS17A!$D1214</f>
        <v>0</v>
      </c>
      <c r="D192" s="24">
        <f>+[4]BS17A!$U1214</f>
        <v>1145920</v>
      </c>
      <c r="E192" s="146">
        <f>+[4]BS17A!$V1214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+[4]BS17A!$D1215</f>
        <v>0</v>
      </c>
      <c r="D193" s="24">
        <f>+[4]BS17A!$U1215</f>
        <v>1200500</v>
      </c>
      <c r="E193" s="146">
        <f>+[4]BS17A!$V1215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+[4]BS17A!$D1216</f>
        <v>0</v>
      </c>
      <c r="D194" s="24">
        <f>+[4]BS17A!$U1216</f>
        <v>169880</v>
      </c>
      <c r="E194" s="146">
        <f>+[4]BS17A!$V1216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+[4]BS17A!$D1217</f>
        <v>0</v>
      </c>
      <c r="D195" s="24">
        <f>+[4]BS17A!$U1217</f>
        <v>387660</v>
      </c>
      <c r="E195" s="146">
        <f>+[4]BS17A!$V1217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+[4]BS17A!$D1218</f>
        <v>0</v>
      </c>
      <c r="D196" s="24">
        <f>+[4]BS17A!$U1218</f>
        <v>143720</v>
      </c>
      <c r="E196" s="146">
        <f>+[4]BS17A!$V1218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+[4]BS17A!$D1219</f>
        <v>0</v>
      </c>
      <c r="D197" s="24">
        <f>+[4]BS17A!$U1219</f>
        <v>1164440</v>
      </c>
      <c r="E197" s="146">
        <f>+[4]BS17A!$V1219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+[4]BS17A!$D1220</f>
        <v>0</v>
      </c>
      <c r="D198" s="24">
        <f>+[4]BS17A!$U1220</f>
        <v>1164440</v>
      </c>
      <c r="E198" s="146">
        <f>+[4]BS17A!$V1220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+[4]BS17A!$D1354</f>
        <v>55</v>
      </c>
      <c r="D199" s="24">
        <f>+[4]BS17A!$U1354</f>
        <v>34730</v>
      </c>
      <c r="E199" s="146">
        <f>+[4]BS17A!$V1354</f>
        <v>1910150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+[4]BS17A!$D1355</f>
        <v>0</v>
      </c>
      <c r="D200" s="24">
        <f>+[4]BS17A!$U1355</f>
        <v>41890</v>
      </c>
      <c r="E200" s="146">
        <f>+[4]BS17A!$V1355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+[4]BS17A!$D1356</f>
        <v>10</v>
      </c>
      <c r="D201" s="24">
        <f>+[4]BS17A!$U1356</f>
        <v>44620</v>
      </c>
      <c r="E201" s="146">
        <f>+[4]BS17A!$V1356</f>
        <v>446200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[4]BS17A!D1036</f>
        <v>0</v>
      </c>
      <c r="D202" s="24">
        <f>[4]BS17A!U1036</f>
        <v>9390</v>
      </c>
      <c r="E202" s="146">
        <f>[4]BS17A!V1036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[4]BS17A!D807</f>
        <v>0</v>
      </c>
      <c r="D203" s="24">
        <f>[4]BS17A!U807</f>
        <v>398560</v>
      </c>
      <c r="E203" s="146">
        <f>[4]BS17A!V807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[4]BS17A!D808</f>
        <v>0</v>
      </c>
      <c r="D204" s="24">
        <f>[4]BS17A!U808</f>
        <v>8946190</v>
      </c>
      <c r="E204" s="146">
        <f>[4]BS17A!V808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[4]BS17A!D809</f>
        <v>0</v>
      </c>
      <c r="D205" s="24">
        <f>[4]BS17A!U809</f>
        <v>229650</v>
      </c>
      <c r="E205" s="146">
        <f>[4]BS17A!V809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[4]BS17A!D810</f>
        <v>0</v>
      </c>
      <c r="D206" s="40">
        <f>[4]BS17A!U810</f>
        <v>1047210</v>
      </c>
      <c r="E206" s="153">
        <f>[4]BS17A!V810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955</v>
      </c>
      <c r="D207" s="151"/>
      <c r="E207" s="152">
        <f>SUM(E173:E206)</f>
        <v>16018090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5"/>
    </row>
    <row r="211" spans="1:6" ht="39.75" customHeight="1" x14ac:dyDescent="0.2">
      <c r="A211" s="11" t="s">
        <v>8</v>
      </c>
      <c r="B211" s="11" t="s">
        <v>9</v>
      </c>
      <c r="C211" s="242" t="s">
        <v>10</v>
      </c>
      <c r="D211" s="13" t="s">
        <v>11</v>
      </c>
      <c r="E211" s="244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+[4]BS17A!$D18</f>
        <v>0</v>
      </c>
      <c r="D212" s="37">
        <f>+[4]BS17A!$U18</f>
        <v>14530</v>
      </c>
      <c r="E212" s="145">
        <f>+[4]BS17A!$V18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+[4]BS17A!$D19</f>
        <v>59</v>
      </c>
      <c r="D213" s="24">
        <f>+[4]BS17A!$U19</f>
        <v>14530</v>
      </c>
      <c r="E213" s="146">
        <f>+[4]BS17A!$V19</f>
        <v>857270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+[4]BS17A!$D47</f>
        <v>0</v>
      </c>
      <c r="D214" s="24">
        <f>+[4]BS17A!$U47</f>
        <v>1390</v>
      </c>
      <c r="E214" s="146">
        <f>+[4]BS17A!$V47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+[4]BS17A!$D48</f>
        <v>364</v>
      </c>
      <c r="D215" s="24">
        <f>+[4]BS17A!$U48</f>
        <v>680</v>
      </c>
      <c r="E215" s="146">
        <f>+[4]BS17A!$V48</f>
        <v>247520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+[4]BS17A!$D49</f>
        <v>4558</v>
      </c>
      <c r="D216" s="24">
        <f>+[4]BS17A!$U49</f>
        <v>2060</v>
      </c>
      <c r="E216" s="146">
        <f>+[4]BS17A!$V49</f>
        <v>9389480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+[4]BS17A!$D50</f>
        <v>59</v>
      </c>
      <c r="D217" s="24">
        <f>+[4]BS17A!$U50</f>
        <v>15480</v>
      </c>
      <c r="E217" s="146">
        <f>+[4]BS17A!$V50</f>
        <v>913320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+[4]BS17A!$D51</f>
        <v>103</v>
      </c>
      <c r="D218" s="24">
        <f>+[4]BS17A!$U51</f>
        <v>35550</v>
      </c>
      <c r="E218" s="146">
        <f>+[4]BS17A!$V51</f>
        <v>3661650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+[4]BS17A!D52</f>
        <v>26</v>
      </c>
      <c r="D219" s="174"/>
      <c r="E219" s="146">
        <f>+[4]BS17A!V52</f>
        <v>230620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+[4]BS17A!$D1861</f>
        <v>51</v>
      </c>
      <c r="D220" s="40">
        <f>+[4]BS17A!$U1861</f>
        <v>28810</v>
      </c>
      <c r="E220" s="153">
        <f>+[4]BS17A!$V1861</f>
        <v>1469310</v>
      </c>
      <c r="F220" s="8"/>
    </row>
    <row r="221" spans="1:6" ht="12.75" x14ac:dyDescent="0.2">
      <c r="A221" s="130"/>
      <c r="B221" s="131" t="s">
        <v>329</v>
      </c>
      <c r="C221" s="44">
        <f>SUM(C212:C220)</f>
        <v>5220</v>
      </c>
      <c r="D221" s="151"/>
      <c r="E221" s="175">
        <f>SUM(E212:E220)</f>
        <v>16769170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65" t="s">
        <v>330</v>
      </c>
      <c r="B224" s="766"/>
      <c r="C224" s="767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242" t="s">
        <v>10</v>
      </c>
      <c r="D232" s="13" t="s">
        <v>11</v>
      </c>
      <c r="E232" s="244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+[4]BS17A!$D1941</f>
        <v>317</v>
      </c>
      <c r="D233" s="37">
        <f>+[4]BS17A!$U1941</f>
        <v>19890</v>
      </c>
      <c r="E233" s="145">
        <f>+[4]BS17A!$V1941</f>
        <v>6305130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+[4]BS17A!$D1942</f>
        <v>0</v>
      </c>
      <c r="D234" s="40">
        <f>+[4]BS17A!$U1942</f>
        <v>249320</v>
      </c>
      <c r="E234" s="153">
        <f>+[4]BS17A!$V1942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317</v>
      </c>
      <c r="D235" s="151"/>
      <c r="E235" s="152">
        <f>SUM(E233:E234)</f>
        <v>6305130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8"/>
    </row>
    <row r="239" spans="1:7" ht="41.25" customHeight="1" x14ac:dyDescent="0.2">
      <c r="A239" s="11" t="s">
        <v>8</v>
      </c>
      <c r="B239" s="11" t="s">
        <v>9</v>
      </c>
      <c r="C239" s="242" t="s">
        <v>10</v>
      </c>
      <c r="D239" s="13" t="s">
        <v>11</v>
      </c>
      <c r="E239" s="244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[4]BS17A!D768</f>
        <v>1044</v>
      </c>
      <c r="D240" s="191"/>
      <c r="E240" s="192">
        <f>[4]BS17A!V768</f>
        <v>7478820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8"/>
    </row>
    <row r="243" spans="1:6" ht="43.5" customHeight="1" x14ac:dyDescent="0.2">
      <c r="A243" s="11" t="s">
        <v>8</v>
      </c>
      <c r="B243" s="242" t="s">
        <v>346</v>
      </c>
      <c r="C243" s="100" t="s">
        <v>347</v>
      </c>
      <c r="D243" s="13" t="s">
        <v>11</v>
      </c>
      <c r="E243" s="244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+[4]BS17A!$D1944</f>
        <v>0</v>
      </c>
      <c r="D244" s="37">
        <f>+[4]BS17A!$U1944</f>
        <v>254650</v>
      </c>
      <c r="E244" s="145">
        <f>+[4]BS17A!$V1944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+[4]BS17A!$D1945</f>
        <v>0</v>
      </c>
      <c r="D245" s="24">
        <f>+[4]BS17A!$U1945</f>
        <v>36180</v>
      </c>
      <c r="E245" s="146">
        <f>+[4]BS17A!$V1945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+[4]BS17A!$D1946</f>
        <v>0</v>
      </c>
      <c r="D246" s="24">
        <f>+[4]BS17A!$U1946</f>
        <v>136500</v>
      </c>
      <c r="E246" s="146">
        <f>+[4]BS17A!$V1946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+[4]BS17A!$D1947</f>
        <v>0</v>
      </c>
      <c r="D247" s="24">
        <f>+[4]BS17A!$U1947</f>
        <v>136500</v>
      </c>
      <c r="E247" s="146">
        <f>+[4]BS17A!$V1947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+[4]BS17A!$D1948</f>
        <v>0</v>
      </c>
      <c r="D248" s="24">
        <f>+[4]BS17A!$U1948</f>
        <v>248500</v>
      </c>
      <c r="E248" s="146">
        <f>+[4]BS17A!$V1948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+[4]BS17A!$D1949</f>
        <v>0</v>
      </c>
      <c r="D249" s="24">
        <f>+[4]BS17A!$U1949</f>
        <v>381350</v>
      </c>
      <c r="E249" s="146">
        <f>+[4]BS17A!$V1949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+[4]BS17A!$D1950</f>
        <v>0</v>
      </c>
      <c r="D250" s="24">
        <f>+[4]BS17A!$U1950</f>
        <v>650560</v>
      </c>
      <c r="E250" s="146">
        <f>+[4]BS17A!$V1950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+[4]BS17A!$D1951</f>
        <v>0</v>
      </c>
      <c r="D251" s="24">
        <f>+[4]BS17A!$U1951</f>
        <v>135500</v>
      </c>
      <c r="E251" s="146">
        <f>+[4]BS17A!$V1951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+[4]BS17A!$D1952</f>
        <v>0</v>
      </c>
      <c r="D252" s="24">
        <f>+[4]BS17A!$U1952</f>
        <v>365200</v>
      </c>
      <c r="E252" s="146">
        <f>+[4]BS17A!$V1952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+[4]BS17A!$D1953</f>
        <v>0</v>
      </c>
      <c r="D253" s="31">
        <f>+[4]BS17A!$U1953</f>
        <v>153770</v>
      </c>
      <c r="E253" s="198">
        <f>+[4]BS17A!$V1953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+[4]BS17A!$D1954</f>
        <v>0</v>
      </c>
      <c r="D254" s="31">
        <f>+[4]BS17A!$U1954</f>
        <v>133620</v>
      </c>
      <c r="E254" s="198">
        <f>+[4]BS17A!$V1954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+[4]BS17A!$D1955</f>
        <v>0</v>
      </c>
      <c r="D255" s="31">
        <f>+[4]BS17A!$U1955</f>
        <v>203150</v>
      </c>
      <c r="E255" s="198">
        <f>+[4]BS17A!$V1955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+[4]BS17A!$D1956</f>
        <v>0</v>
      </c>
      <c r="D256" s="31">
        <f>+[4]BS17A!$U1956</f>
        <v>53460</v>
      </c>
      <c r="E256" s="198">
        <f>+[4]BS17A!$V1956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+[4]BS17A!$D1957</f>
        <v>0</v>
      </c>
      <c r="D257" s="40">
        <f>+[4]BS17A!$U1957</f>
        <v>39950</v>
      </c>
      <c r="E257" s="153">
        <f>+[4]BS17A!$V1957</f>
        <v>0</v>
      </c>
      <c r="F257" s="8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+[4]BS17A!$D1958</f>
        <v>0</v>
      </c>
      <c r="D259" s="37">
        <f>+[4]BS17A!$U1958</f>
        <v>219080</v>
      </c>
      <c r="E259" s="145">
        <f>+[4]BS17A!$V1958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+[4]BS17A!$D1959</f>
        <v>0</v>
      </c>
      <c r="D260" s="24">
        <f>+[4]BS17A!$U1959</f>
        <v>1303250</v>
      </c>
      <c r="E260" s="146">
        <f>+[4]BS17A!$V1959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+[4]BS17A!$D1960</f>
        <v>0</v>
      </c>
      <c r="D261" s="24">
        <f>+[4]BS17A!$U1960</f>
        <v>196630</v>
      </c>
      <c r="E261" s="146">
        <f>+[4]BS17A!$V1960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+[4]BS17A!$D1961</f>
        <v>0</v>
      </c>
      <c r="D262" s="24">
        <f>+[4]BS17A!$U1961</f>
        <v>173880</v>
      </c>
      <c r="E262" s="146">
        <f>+[4]BS17A!$V1961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+[4]BS17A!$D1962</f>
        <v>0</v>
      </c>
      <c r="D263" s="24">
        <f>+[4]BS17A!$U1962</f>
        <v>352980</v>
      </c>
      <c r="E263" s="146">
        <f>+[4]BS17A!$V1962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+[4]BS17A!$D1963</f>
        <v>0</v>
      </c>
      <c r="D264" s="24">
        <f>+[4]BS17A!$U1963</f>
        <v>1173780</v>
      </c>
      <c r="E264" s="146">
        <f>+[4]BS17A!$V1963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+[4]BS17A!$D1964</f>
        <v>0</v>
      </c>
      <c r="D265" s="24">
        <f>+[4]BS17A!$U1964</f>
        <v>1206250</v>
      </c>
      <c r="E265" s="146">
        <f>+[4]BS17A!$V1964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+[4]BS17A!$D1965</f>
        <v>0</v>
      </c>
      <c r="D266" s="24">
        <f>+[4]BS17A!$U1965</f>
        <v>955090</v>
      </c>
      <c r="E266" s="146">
        <f>+[4]BS17A!$V1965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+[4]BS17A!$D1966</f>
        <v>0</v>
      </c>
      <c r="D267" s="24">
        <f>+[4]BS17A!$U1966</f>
        <v>1006570</v>
      </c>
      <c r="E267" s="146">
        <f>+[4]BS17A!$V1966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+[4]BS17A!$D1967</f>
        <v>0</v>
      </c>
      <c r="D268" s="24">
        <f>+[4]BS17A!$U1967</f>
        <v>397090</v>
      </c>
      <c r="E268" s="146">
        <f>+[4]BS17A!$V1967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+[4]BS17A!$D1968</f>
        <v>0</v>
      </c>
      <c r="D269" s="24">
        <f>+[4]BS17A!$U1968</f>
        <v>95100</v>
      </c>
      <c r="E269" s="146">
        <f>+[4]BS17A!$V1968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+[4]BS17A!$D1969</f>
        <v>0</v>
      </c>
      <c r="D270" s="24">
        <f>+[4]BS17A!$U1969</f>
        <v>283710</v>
      </c>
      <c r="E270" s="146">
        <f>+[4]BS17A!$V1969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+[4]BS17A!$D1970</f>
        <v>0</v>
      </c>
      <c r="D271" s="24">
        <f>+[4]BS17A!$U1970</f>
        <v>80220</v>
      </c>
      <c r="E271" s="146">
        <f>+[4]BS17A!$V1970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+[4]BS17A!$D1971</f>
        <v>0</v>
      </c>
      <c r="D272" s="24">
        <f>+[4]BS17A!$U1971</f>
        <v>1378400</v>
      </c>
      <c r="E272" s="146">
        <f>+[4]BS17A!$V1971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+[4]BS17A!$D1972</f>
        <v>0</v>
      </c>
      <c r="D273" s="24">
        <f>+[4]BS17A!$U1972</f>
        <v>322300</v>
      </c>
      <c r="E273" s="146">
        <f>+[4]BS17A!$V1972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+[4]BS17A!$D1973</f>
        <v>0</v>
      </c>
      <c r="D274" s="24">
        <f>+[4]BS17A!$U1973</f>
        <v>1079720</v>
      </c>
      <c r="E274" s="146">
        <f>+[4]BS17A!$V1973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+[4]BS17A!$D1974</f>
        <v>0</v>
      </c>
      <c r="D275" s="24">
        <f>+[4]BS17A!$U1974</f>
        <v>661000</v>
      </c>
      <c r="E275" s="146">
        <f>+[4]BS17A!$V1974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+[4]BS17A!$D1975</f>
        <v>0</v>
      </c>
      <c r="D276" s="31">
        <f>+[4]BS17A!$U1975</f>
        <v>539420</v>
      </c>
      <c r="E276" s="198">
        <f>+[4]BS17A!$V1975</f>
        <v>0</v>
      </c>
      <c r="F276" s="8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+[4]BS17A!$D1976</f>
        <v>0</v>
      </c>
      <c r="D278" s="20">
        <f>[4]BS17A!U1976</f>
        <v>290780</v>
      </c>
      <c r="E278" s="202">
        <f>+[4]BS17A!$V1976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+[4]BS17A!$D1977</f>
        <v>0</v>
      </c>
      <c r="D279" s="24">
        <f>[4]BS17A!U1977</f>
        <v>169530</v>
      </c>
      <c r="E279" s="146">
        <f>+[4]BS17A!$V1977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+[4]BS17A!$D1978</f>
        <v>0</v>
      </c>
      <c r="D280" s="24">
        <f>[4]BS17A!U1978</f>
        <v>409630</v>
      </c>
      <c r="E280" s="146">
        <f>+[4]BS17A!$V1978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+[4]BS17A!$D1979</f>
        <v>0</v>
      </c>
      <c r="D281" s="24">
        <f>[4]BS17A!U1979</f>
        <v>424500</v>
      </c>
      <c r="E281" s="146">
        <f>+[4]BS17A!$V1979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+[4]BS17A!$D1980</f>
        <v>0</v>
      </c>
      <c r="D282" s="40">
        <f>[4]BS17A!U1980</f>
        <v>265260</v>
      </c>
      <c r="E282" s="153">
        <f>+[4]BS17A!$V1980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+[4]BS17A!$D1981</f>
        <v>97</v>
      </c>
      <c r="D283" s="207">
        <f>[4]BS17A!U1981</f>
        <v>36070</v>
      </c>
      <c r="E283" s="192">
        <f>+[4]BS17A!$V1981</f>
        <v>3498790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97</v>
      </c>
      <c r="D284" s="151"/>
      <c r="E284" s="152">
        <f>SUM(E244:E283)</f>
        <v>3498790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8"/>
    </row>
    <row r="288" spans="1:10" ht="44.25" customHeight="1" x14ac:dyDescent="0.2">
      <c r="A288" s="11" t="s">
        <v>8</v>
      </c>
      <c r="B288" s="11" t="s">
        <v>426</v>
      </c>
      <c r="C288" s="242" t="s">
        <v>347</v>
      </c>
      <c r="D288" s="13" t="s">
        <v>11</v>
      </c>
      <c r="E288" s="244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+[4]BS17A!$D1983</f>
        <v>3</v>
      </c>
      <c r="D289" s="37">
        <f>+[4]BS17A!$U1983</f>
        <v>7100</v>
      </c>
      <c r="E289" s="145">
        <f>+[4]BS17A!$V1983</f>
        <v>21300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+[4]BS17A!$D1984</f>
        <v>0</v>
      </c>
      <c r="D290" s="24">
        <f>+[4]BS17A!$U1984</f>
        <v>3780</v>
      </c>
      <c r="E290" s="146">
        <f>+[4]BS17A!$V1984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+[4]BS17A!$D1985</f>
        <v>1</v>
      </c>
      <c r="D291" s="24">
        <f>+[4]BS17A!$U1985</f>
        <v>14240</v>
      </c>
      <c r="E291" s="146">
        <f>+[4]BS17A!$V1985</f>
        <v>14240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+[4]BS17A!$D1986</f>
        <v>0</v>
      </c>
      <c r="D292" s="24">
        <f>+[4]BS17A!$U1986</f>
        <v>146040</v>
      </c>
      <c r="E292" s="146">
        <f>+[4]BS17A!$V1986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+[4]BS17A!$D1987</f>
        <v>0</v>
      </c>
      <c r="D293" s="40">
        <f>+[4]BS17A!$U1987</f>
        <v>802130</v>
      </c>
      <c r="E293" s="153">
        <f>+[4]BS17A!$V1987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4</v>
      </c>
      <c r="D294" s="57"/>
      <c r="E294" s="107">
        <f>SUM(E289:E293)</f>
        <v>35540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56" t="s">
        <v>438</v>
      </c>
      <c r="B297" s="757"/>
      <c r="C297" s="757"/>
      <c r="D297" s="757"/>
      <c r="E297" s="758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244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+[4]BS17A!$D1863</f>
        <v>198</v>
      </c>
      <c r="D299" s="37">
        <f>+[4]BS17A!$U1863</f>
        <v>18980</v>
      </c>
      <c r="E299" s="145">
        <f>+[4]BS17A!$V1863</f>
        <v>3758040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+[4]BS17A!$D1864</f>
        <v>193</v>
      </c>
      <c r="D300" s="24">
        <f>+[4]BS17A!$U1864</f>
        <v>59710</v>
      </c>
      <c r="E300" s="146">
        <f>+[4]BS17A!$V1864</f>
        <v>11524030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+[4]BS17A!$D1865</f>
        <v>0</v>
      </c>
      <c r="D301" s="24">
        <f>+[4]BS17A!$U1865</f>
        <v>74020</v>
      </c>
      <c r="E301" s="146">
        <f>+[4]BS17A!$V1865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+[4]BS17A!$D1866</f>
        <v>138</v>
      </c>
      <c r="D302" s="24">
        <f>+[4]BS17A!$U1866</f>
        <v>2600</v>
      </c>
      <c r="E302" s="146">
        <f>+[4]BS17A!$V1866</f>
        <v>358800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+[4]BS17A!$D1867</f>
        <v>0</v>
      </c>
      <c r="D303" s="24">
        <f>+[4]BS17A!$U1867</f>
        <v>70</v>
      </c>
      <c r="E303" s="146">
        <f>+[4]BS17A!$V1867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+[4]BS17A!$D1868</f>
        <v>0</v>
      </c>
      <c r="D304" s="24">
        <f>+[4]BS17A!$U1868</f>
        <v>157140</v>
      </c>
      <c r="E304" s="146">
        <f>+[4]BS17A!$V1868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+[4]BS17A!$D1869</f>
        <v>0</v>
      </c>
      <c r="D305" s="40">
        <f>+[4]BS17A!$U1869</f>
        <v>10680</v>
      </c>
      <c r="E305" s="153">
        <f>+[4]BS17A!$V1869</f>
        <v>0</v>
      </c>
      <c r="F305" s="8"/>
    </row>
    <row r="306" spans="1:7" ht="15" customHeight="1" x14ac:dyDescent="0.2">
      <c r="A306" s="96"/>
      <c r="B306" s="771" t="s">
        <v>454</v>
      </c>
      <c r="C306" s="772"/>
      <c r="D306" s="191"/>
      <c r="E306" s="220">
        <f>SUM(E299:E305)</f>
        <v>15640870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45" t="s">
        <v>455</v>
      </c>
      <c r="B309" s="746"/>
      <c r="C309" s="746"/>
      <c r="D309" s="746"/>
      <c r="E309" s="747"/>
      <c r="F309" s="178"/>
      <c r="G309" s="185"/>
    </row>
    <row r="310" spans="1:7" ht="12.75" x14ac:dyDescent="0.2">
      <c r="A310" s="221"/>
      <c r="B310" s="768" t="s">
        <v>456</v>
      </c>
      <c r="C310" s="769"/>
      <c r="D310" s="770"/>
      <c r="E310" s="222">
        <f>+E235+E240+E284+E294+E306</f>
        <v>32959150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45" t="s">
        <v>457</v>
      </c>
      <c r="B313" s="746"/>
      <c r="C313" s="746"/>
      <c r="D313" s="746"/>
      <c r="E313" s="747"/>
      <c r="F313" s="178"/>
      <c r="G313" s="185"/>
    </row>
    <row r="314" spans="1:7" ht="25.5" x14ac:dyDescent="0.2">
      <c r="A314" s="756" t="s">
        <v>458</v>
      </c>
      <c r="B314" s="757"/>
      <c r="C314" s="757"/>
      <c r="D314" s="758"/>
      <c r="E314" s="11" t="s">
        <v>12</v>
      </c>
      <c r="F314" s="178"/>
      <c r="G314" s="185"/>
    </row>
    <row r="315" spans="1:7" ht="15" customHeight="1" x14ac:dyDescent="0.2">
      <c r="A315" s="221"/>
      <c r="B315" s="768" t="s">
        <v>459</v>
      </c>
      <c r="C315" s="769"/>
      <c r="D315" s="770"/>
      <c r="E315" s="222">
        <f>+E50+E76+E84+F109+E116+C121+E148+E155+E168+E207+E221+C228+E310</f>
        <v>877083605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45" t="s">
        <v>460</v>
      </c>
      <c r="B318" s="746"/>
      <c r="C318" s="747"/>
      <c r="D318" s="8"/>
      <c r="E318" s="8"/>
      <c r="F318" s="5"/>
    </row>
    <row r="319" spans="1:7" ht="18" customHeight="1" x14ac:dyDescent="0.2">
      <c r="A319" s="756" t="s">
        <v>461</v>
      </c>
      <c r="B319" s="757"/>
      <c r="C319" s="758"/>
      <c r="D319" s="8"/>
      <c r="E319" s="8"/>
      <c r="F319" s="5"/>
    </row>
    <row r="320" spans="1:7" ht="30.75" customHeight="1" x14ac:dyDescent="0.2">
      <c r="A320" s="745" t="s">
        <v>462</v>
      </c>
      <c r="B320" s="746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11835989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134323137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146159126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74" t="str">
        <f>[4]NOMBRE!B12</f>
        <v>SRA. MARIA INES NUÑEZ GONZALEZ</v>
      </c>
      <c r="F338" s="774"/>
    </row>
    <row r="339" spans="1:6" ht="12.75" x14ac:dyDescent="0.2">
      <c r="A339" s="186"/>
      <c r="B339" s="186"/>
      <c r="C339" s="186"/>
      <c r="D339" s="188"/>
      <c r="E339" s="773" t="str">
        <f>[4]NOMBRE!A12</f>
        <v>Jefe de Estadisticas</v>
      </c>
      <c r="F339" s="773"/>
    </row>
    <row r="340" spans="1:6" ht="12.75" x14ac:dyDescent="0.2">
      <c r="A340" s="186"/>
      <c r="B340" s="186"/>
      <c r="C340" s="186"/>
      <c r="D340" s="186"/>
      <c r="E340" s="24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74" t="str">
        <f>[4]NOMBRE!B11</f>
        <v>DR. FRANCISCO MARTINEZ CAVALLA</v>
      </c>
      <c r="F347" s="774"/>
    </row>
    <row r="348" spans="1:6" ht="22.5" customHeight="1" x14ac:dyDescent="0.2">
      <c r="A348" s="186"/>
      <c r="B348" s="186"/>
      <c r="C348" s="186"/>
      <c r="D348" s="215"/>
      <c r="E348" s="773" t="str">
        <f>CONCATENATE("Director ",[4]NOMBRE!B1)</f>
        <v xml:space="preserve">Director </v>
      </c>
      <c r="F348" s="773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24" sqref="B24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42" t="s">
        <v>1</v>
      </c>
      <c r="D1" s="743"/>
      <c r="E1" s="744"/>
      <c r="F1" s="3"/>
    </row>
    <row r="2" spans="1:7" ht="12.75" x14ac:dyDescent="0.2">
      <c r="A2" s="1" t="str">
        <f>CONCATENATE("COMUNA: ",[5]NOMBRE!B2," - ","( ",[5]NOMBRE!C2,[5]NOMBRE!D2,[5]NOMBRE!E2,[5]NOMBRE!F2,[5]NOMBRE!G2," )")</f>
        <v>COMUNA: LINARES  - ( 07401 )</v>
      </c>
      <c r="B2" s="2"/>
      <c r="C2" s="739"/>
      <c r="D2" s="740"/>
      <c r="E2" s="741"/>
      <c r="F2" s="5"/>
      <c r="G2" s="6"/>
    </row>
    <row r="3" spans="1:7" ht="12.75" x14ac:dyDescent="0.2">
      <c r="A3" s="1" t="str">
        <f>CONCATENATE("ESTABLECIMIENTO/ESTRATEGIA: ",[5]NOMBRE!B3," - ","( ",[5]NOMBRE!C3,[5]NOMBRE!D3,[5]NOMBRE!E3,[5]NOMBRE!F3,[5]NOMBRE!G3,[5]NOMBRE!H3," )")</f>
        <v>ESTABLECIMIENTO/ESTRATEGIA: HOSPITAL LINARES  - ( 116108 )</v>
      </c>
      <c r="B3" s="2"/>
      <c r="C3" s="742" t="s">
        <v>2</v>
      </c>
      <c r="D3" s="743"/>
      <c r="E3" s="744"/>
      <c r="F3" s="5"/>
      <c r="G3" s="7"/>
    </row>
    <row r="4" spans="1:7" ht="12.75" x14ac:dyDescent="0.2">
      <c r="A4" s="1" t="str">
        <f>CONCATENATE("MES: ",[5]NOMBRE!B6," - ","( ",[5]NOMBRE!C6,[5]NOMBRE!D6," )")</f>
        <v>MES: ABRIL - ( 04 )</v>
      </c>
      <c r="B4" s="2"/>
      <c r="C4" s="739" t="str">
        <f>CONCATENATE([5]NOMBRE!B6," ","( ",[5]NOMBRE!C6,[5]NOMBRE!D6," )")</f>
        <v>ABRIL ( 04 )</v>
      </c>
      <c r="D4" s="740"/>
      <c r="E4" s="741"/>
      <c r="F4" s="5"/>
      <c r="G4" s="7"/>
    </row>
    <row r="5" spans="1:7" ht="12.75" x14ac:dyDescent="0.2">
      <c r="A5" s="1" t="str">
        <f>CONCATENATE("AÑO: ",[5]NOMBRE!B7)</f>
        <v>AÑO: 2015</v>
      </c>
      <c r="B5" s="2"/>
      <c r="C5" s="742" t="s">
        <v>3</v>
      </c>
      <c r="D5" s="743"/>
      <c r="E5" s="744"/>
      <c r="F5" s="5"/>
      <c r="G5" s="7"/>
    </row>
    <row r="6" spans="1:7" ht="12.75" x14ac:dyDescent="0.2">
      <c r="A6" s="8"/>
      <c r="B6" s="8"/>
      <c r="C6" s="739">
        <f>[5]NOMBRE!B7</f>
        <v>2015</v>
      </c>
      <c r="D6" s="740"/>
      <c r="E6" s="741"/>
      <c r="F6" s="5"/>
      <c r="G6" s="7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5"/>
      <c r="G7" s="7"/>
    </row>
    <row r="8" spans="1:7" ht="15" x14ac:dyDescent="0.2">
      <c r="A8" s="8"/>
      <c r="B8" s="241" t="s">
        <v>6</v>
      </c>
      <c r="C8" s="739" t="str">
        <f>CONCATENATE([5]NOMBRE!B3," ","( ",[5]NOMBRE!C3,[5]NOMBRE!D3,[5]NOMBRE!E3,[5]NOMBRE!F3,[5]NOMBRE!G3," )")</f>
        <v>HOSPITAL LINARES  ( 11610 )</v>
      </c>
      <c r="D8" s="740"/>
      <c r="E8" s="741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53" t="s">
        <v>7</v>
      </c>
      <c r="B11" s="754"/>
      <c r="C11" s="754"/>
      <c r="D11" s="754"/>
      <c r="E11" s="755"/>
      <c r="F11" s="5"/>
    </row>
    <row r="12" spans="1:7" ht="43.5" customHeight="1" x14ac:dyDescent="0.2">
      <c r="A12" s="11" t="s">
        <v>8</v>
      </c>
      <c r="B12" s="11" t="s">
        <v>9</v>
      </c>
      <c r="C12" s="242" t="s">
        <v>10</v>
      </c>
      <c r="D12" s="13" t="s">
        <v>11</v>
      </c>
      <c r="E12" s="244" t="s">
        <v>12</v>
      </c>
      <c r="F12" s="8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8"/>
    </row>
    <row r="14" spans="1:7" ht="15" customHeight="1" x14ac:dyDescent="0.2">
      <c r="A14" s="17" t="s">
        <v>14</v>
      </c>
      <c r="B14" s="18" t="s">
        <v>15</v>
      </c>
      <c r="C14" s="19">
        <f>[5]BS17A!$D13</f>
        <v>0</v>
      </c>
      <c r="D14" s="20">
        <f>[5]BS17A!$U13</f>
        <v>4300</v>
      </c>
      <c r="E14" s="21">
        <f>[5]BS17A!$V13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[5]BS17A!$D14</f>
        <v>0</v>
      </c>
      <c r="D15" s="24">
        <f>[5]BS17A!$U14</f>
        <v>5400</v>
      </c>
      <c r="E15" s="25">
        <f>[5]BS17A!$V14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[5]BS17A!$D15</f>
        <v>6438</v>
      </c>
      <c r="D16" s="24">
        <f>[5]BS17A!$U15</f>
        <v>11590</v>
      </c>
      <c r="E16" s="25">
        <f>[5]BS17A!$V15</f>
        <v>74616420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[5]BS17A!$D16</f>
        <v>0</v>
      </c>
      <c r="D17" s="24">
        <f>[5]BS17A!$U16</f>
        <v>6920</v>
      </c>
      <c r="E17" s="25">
        <f>[5]BS17A!$V16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[5]BS17A!$D17</f>
        <v>0</v>
      </c>
      <c r="D18" s="24">
        <f>[5]BS17A!$U17</f>
        <v>7590</v>
      </c>
      <c r="E18" s="25">
        <f>[5]BS17A!$V17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[5]BS17A!$D20</f>
        <v>0</v>
      </c>
      <c r="D19" s="24">
        <f>[5]BS17A!$U20</f>
        <v>5860</v>
      </c>
      <c r="E19" s="25">
        <f>[5]BS17A!$V20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[5]BS17A!$D21</f>
        <v>0</v>
      </c>
      <c r="D20" s="24">
        <f>[5]BS17A!$U21</f>
        <v>7020</v>
      </c>
      <c r="E20" s="25">
        <f>[5]BS17A!$V21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[5]BS17A!$D22</f>
        <v>0</v>
      </c>
      <c r="D21" s="24">
        <f>[5]BS17A!$U22</f>
        <v>8710</v>
      </c>
      <c r="E21" s="25">
        <f>[5]BS17A!$V22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[5]BS17A!$D23</f>
        <v>2153</v>
      </c>
      <c r="D22" s="24">
        <f>[5]BS17A!$U23</f>
        <v>5860</v>
      </c>
      <c r="E22" s="25">
        <f>[5]BS17A!$V23</f>
        <v>12616580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[5]BS17A!$D24</f>
        <v>1174</v>
      </c>
      <c r="D23" s="24">
        <f>[5]BS17A!$U24</f>
        <v>7020</v>
      </c>
      <c r="E23" s="25">
        <f>[5]BS17A!$V24</f>
        <v>8241480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[5]BS17A!$D25</f>
        <v>2491</v>
      </c>
      <c r="D24" s="24">
        <f>[5]BS17A!$U25</f>
        <v>8710</v>
      </c>
      <c r="E24" s="25">
        <f>[5]BS17A!$V25</f>
        <v>21696610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+[5]BS17A!$D795</f>
        <v>239</v>
      </c>
      <c r="D25" s="24">
        <f>+[5]BS17A!$U795</f>
        <v>7110</v>
      </c>
      <c r="E25" s="25">
        <f>+[5]BS17A!$V795</f>
        <v>1699290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+[5]BS17A!$D800</f>
        <v>0</v>
      </c>
      <c r="D26" s="31">
        <f>+[5]BS17A!$U800</f>
        <v>29440</v>
      </c>
      <c r="E26" s="32">
        <f>+[5]BS17A!$V800</f>
        <v>0</v>
      </c>
      <c r="F26" s="8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8"/>
    </row>
    <row r="28" spans="1:6" ht="15" customHeight="1" x14ac:dyDescent="0.2">
      <c r="A28" s="17" t="s">
        <v>41</v>
      </c>
      <c r="B28" s="18" t="s">
        <v>42</v>
      </c>
      <c r="C28" s="33">
        <f>[5]BS17A!$D27</f>
        <v>2090</v>
      </c>
      <c r="D28" s="20">
        <f>[5]BS17A!$U27</f>
        <v>1140</v>
      </c>
      <c r="E28" s="21">
        <f>[5]BS17A!$V27</f>
        <v>2382600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[5]BS17A!$D28</f>
        <v>0</v>
      </c>
      <c r="D29" s="24">
        <f>[5]BS17A!$U28</f>
        <v>1960</v>
      </c>
      <c r="E29" s="25">
        <f>[5]BS17A!$V28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[5]BS17A!$D29</f>
        <v>0</v>
      </c>
      <c r="D30" s="24">
        <f>[5]BS17A!$U29</f>
        <v>630</v>
      </c>
      <c r="E30" s="25">
        <f>[5]BS17A!$V29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[5]BS17A!$D30</f>
        <v>141</v>
      </c>
      <c r="D31" s="24">
        <f>[5]BS17A!$U30</f>
        <v>1550</v>
      </c>
      <c r="E31" s="25">
        <f>[5]BS17A!$V30</f>
        <v>218550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[5]BS17A!$D31</f>
        <v>1797</v>
      </c>
      <c r="D32" s="24">
        <f>[5]BS17A!$U31</f>
        <v>1250</v>
      </c>
      <c r="E32" s="25">
        <f>[5]BS17A!$V31</f>
        <v>2246250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[5]BS17A!$D32</f>
        <v>0</v>
      </c>
      <c r="D33" s="24">
        <f>[5]BS17A!$U32</f>
        <v>1140</v>
      </c>
      <c r="E33" s="25">
        <f>[5]BS17A!$V32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+[5]BS17A!$D796</f>
        <v>353</v>
      </c>
      <c r="D34" s="24">
        <f>+[5]BS17A!$U796</f>
        <v>2780</v>
      </c>
      <c r="E34" s="25">
        <f>+[5]BS17A!$V796</f>
        <v>981340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+[5]BS17A!$D797</f>
        <v>507</v>
      </c>
      <c r="D35" s="24">
        <f>+[5]BS17A!$U797</f>
        <v>2780</v>
      </c>
      <c r="E35" s="25">
        <f>+[5]BS17A!$V797</f>
        <v>1409460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+[5]BS17A!$D798</f>
        <v>4</v>
      </c>
      <c r="D36" s="24">
        <f>+[5]BS17A!$U798</f>
        <v>11080</v>
      </c>
      <c r="E36" s="25">
        <f>+[5]BS17A!$V798</f>
        <v>44320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+[5]BS17A!$D799</f>
        <v>44</v>
      </c>
      <c r="D37" s="31">
        <f>+[5]BS17A!$U799</f>
        <v>12980</v>
      </c>
      <c r="E37" s="32">
        <f>+[5]BS17A!$V799</f>
        <v>571120</v>
      </c>
      <c r="F37" s="8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8"/>
    </row>
    <row r="39" spans="1:6" ht="15" customHeight="1" x14ac:dyDescent="0.2">
      <c r="A39" s="17" t="s">
        <v>62</v>
      </c>
      <c r="B39" s="36" t="s">
        <v>63</v>
      </c>
      <c r="C39" s="33">
        <f>+[5]BS17A!$D801</f>
        <v>0</v>
      </c>
      <c r="D39" s="37">
        <f>+[5]BS17A!$U801</f>
        <v>3657</v>
      </c>
      <c r="E39" s="38">
        <f>+[5]BS17A!$V801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+[5]BS17A!$D802</f>
        <v>0</v>
      </c>
      <c r="D40" s="40">
        <f>+[5]BS17A!$U802</f>
        <v>9455</v>
      </c>
      <c r="E40" s="41">
        <f>+[5]BS17A!$V802</f>
        <v>0</v>
      </c>
      <c r="F40" s="8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8"/>
    </row>
    <row r="42" spans="1:6" ht="15" customHeight="1" x14ac:dyDescent="0.2">
      <c r="A42" s="17" t="s">
        <v>67</v>
      </c>
      <c r="B42" s="42" t="s">
        <v>68</v>
      </c>
      <c r="C42" s="33">
        <f>+[5]BS17A!$D34</f>
        <v>71</v>
      </c>
      <c r="D42" s="37">
        <f>+[5]BS17A!$U34</f>
        <v>3750</v>
      </c>
      <c r="E42" s="38">
        <f>+[5]BS17A!$V34</f>
        <v>266250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+[5]BS17A!$D35</f>
        <v>231</v>
      </c>
      <c r="D43" s="24">
        <f>+[5]BS17A!$U35</f>
        <v>2060</v>
      </c>
      <c r="E43" s="25">
        <f>+[5]BS17A!$V35</f>
        <v>475860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+[5]BS17A!$D36</f>
        <v>0</v>
      </c>
      <c r="D44" s="24">
        <f>+[5]BS17A!$U36</f>
        <v>2060</v>
      </c>
      <c r="E44" s="25">
        <f>+[5]BS17A!$V36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+[5]BS17A!$D37</f>
        <v>390</v>
      </c>
      <c r="D45" s="40">
        <f>+[5]BS17A!$U37</f>
        <v>630</v>
      </c>
      <c r="E45" s="41">
        <f>+[5]BS17A!$V37</f>
        <v>245700</v>
      </c>
      <c r="F45" s="8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8"/>
    </row>
    <row r="47" spans="1:6" ht="15" customHeight="1" x14ac:dyDescent="0.2">
      <c r="A47" s="17" t="s">
        <v>76</v>
      </c>
      <c r="B47" s="42" t="s">
        <v>77</v>
      </c>
      <c r="C47" s="33">
        <f>+[5]BS17A!$D39</f>
        <v>0</v>
      </c>
      <c r="D47" s="37">
        <f>+[5]BS17A!$U39</f>
        <v>1780</v>
      </c>
      <c r="E47" s="38">
        <f>+[5]BS17A!$V39</f>
        <v>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+[5]BS17A!$D40</f>
        <v>14</v>
      </c>
      <c r="D48" s="24">
        <f>+[5]BS17A!$U40</f>
        <v>1780</v>
      </c>
      <c r="E48" s="25">
        <f>+[5]BS17A!$V40</f>
        <v>24920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+[5]BS17A!$D41</f>
        <v>0</v>
      </c>
      <c r="D49" s="40">
        <f>+[5]BS17A!$U41</f>
        <v>1030</v>
      </c>
      <c r="E49" s="41">
        <f>+[5]BS17A!$V41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18137</v>
      </c>
      <c r="D50" s="46"/>
      <c r="E50" s="47">
        <f>SUM(E14:E49)</f>
        <v>127736750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9" t="s">
        <v>83</v>
      </c>
      <c r="B53" s="760"/>
      <c r="C53" s="760"/>
      <c r="D53" s="760"/>
      <c r="E53" s="761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242" t="s">
        <v>10</v>
      </c>
      <c r="D54" s="53"/>
      <c r="E54" s="244" t="s">
        <v>12</v>
      </c>
      <c r="F54" s="8"/>
    </row>
    <row r="55" spans="1:7" ht="18" customHeight="1" x14ac:dyDescent="0.2">
      <c r="A55" s="245" t="s">
        <v>85</v>
      </c>
      <c r="B55" s="55" t="s">
        <v>86</v>
      </c>
      <c r="C55" s="56">
        <f>+[5]BS17!$D12</f>
        <v>67752</v>
      </c>
      <c r="D55" s="57"/>
      <c r="E55" s="58">
        <f>+E56+E57+E58+E59+E60+E61+E65+E66+E67</f>
        <v>95085670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+[5]BS17!$D13</f>
        <v>26934</v>
      </c>
      <c r="D56" s="61"/>
      <c r="E56" s="62">
        <f>+[5]BS17A!V83</f>
        <v>28664620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+[5]BS17!$D14</f>
        <v>29533</v>
      </c>
      <c r="D57" s="63"/>
      <c r="E57" s="64">
        <f>+[5]BS17A!V174</f>
        <v>36505210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+[5]BS17!$D15</f>
        <v>781</v>
      </c>
      <c r="D58" s="63"/>
      <c r="E58" s="64">
        <f>+[5]BS17A!V243</f>
        <v>2813690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+[5]BS17!$D16</f>
        <v>0</v>
      </c>
      <c r="D59" s="63"/>
      <c r="E59" s="64">
        <f>+[5]BS17A!V289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+[5]BS17!$D17</f>
        <v>1575</v>
      </c>
      <c r="D60" s="67"/>
      <c r="E60" s="68">
        <f>+[5]BS17A!V295</f>
        <v>7708610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+[5]BS17!$D18</f>
        <v>5830</v>
      </c>
      <c r="D61" s="71"/>
      <c r="E61" s="72">
        <f>SUM(E62:E64)</f>
        <v>15299320</v>
      </c>
      <c r="F61" s="8"/>
    </row>
    <row r="62" spans="1:7" ht="15" customHeight="1" x14ac:dyDescent="0.2">
      <c r="A62" s="73"/>
      <c r="B62" s="42" t="s">
        <v>99</v>
      </c>
      <c r="C62" s="33">
        <f>+[5]BS17!$D19</f>
        <v>4873</v>
      </c>
      <c r="D62" s="74"/>
      <c r="E62" s="75">
        <f>+[5]BS17A!V362</f>
        <v>11381210</v>
      </c>
      <c r="F62" s="8"/>
    </row>
    <row r="63" spans="1:7" ht="15" customHeight="1" x14ac:dyDescent="0.2">
      <c r="A63" s="73"/>
      <c r="B63" s="27" t="s">
        <v>100</v>
      </c>
      <c r="C63" s="19">
        <f>+[5]BS17!$D20</f>
        <v>54</v>
      </c>
      <c r="D63" s="63"/>
      <c r="E63" s="64">
        <f>+[5]BS17A!V405</f>
        <v>147840</v>
      </c>
      <c r="F63" s="8"/>
    </row>
    <row r="64" spans="1:7" ht="15" customHeight="1" x14ac:dyDescent="0.2">
      <c r="A64" s="76"/>
      <c r="B64" s="43" t="s">
        <v>101</v>
      </c>
      <c r="C64" s="30">
        <f>+[5]BS17!$D21</f>
        <v>903</v>
      </c>
      <c r="D64" s="77"/>
      <c r="E64" s="78">
        <f>+[5]BS17A!V428</f>
        <v>3770270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+[5]BS17!$D22</f>
        <v>10</v>
      </c>
      <c r="D65" s="61"/>
      <c r="E65" s="62">
        <f>+[5]BS17A!V446</f>
        <v>105600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+[5]BS17!$D23</f>
        <v>96</v>
      </c>
      <c r="D66" s="63"/>
      <c r="E66" s="64">
        <f>+[5]BS17A!V456</f>
        <v>187400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+[5]BS17!$D24</f>
        <v>2993</v>
      </c>
      <c r="D67" s="67"/>
      <c r="E67" s="68">
        <f>+[5]BS17A!V500</f>
        <v>3801220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+[5]BS17!$D25</f>
        <v>4543</v>
      </c>
      <c r="D68" s="83"/>
      <c r="E68" s="84">
        <f>SUM(E69:E74)</f>
        <v>64871700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+[5]BS17!$D26</f>
        <v>3007</v>
      </c>
      <c r="D69" s="63"/>
      <c r="E69" s="64">
        <f>+[5]BS17A!V535</f>
        <v>24809260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+[5]BS17!$D27</f>
        <v>8</v>
      </c>
      <c r="D70" s="63"/>
      <c r="E70" s="64">
        <f>+[5]BS17A!V590</f>
        <v>162800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+[5]BS17!$D28</f>
        <v>597</v>
      </c>
      <c r="D71" s="63"/>
      <c r="E71" s="64">
        <f>+[5]BS17A!V615</f>
        <v>31062660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+[5]BS17!$D30+[5]BS17!$D32</f>
        <v>515</v>
      </c>
      <c r="D72" s="63"/>
      <c r="E72" s="64">
        <f>+[5]BS17A!V633-[5]BS17A!V634</f>
        <v>6657140</v>
      </c>
      <c r="F72" s="8"/>
    </row>
    <row r="73" spans="1:7" ht="15" customHeight="1" x14ac:dyDescent="0.2">
      <c r="A73" s="85"/>
      <c r="B73" s="27" t="s">
        <v>118</v>
      </c>
      <c r="C73" s="19">
        <f>+[5]BS17!$D31</f>
        <v>416</v>
      </c>
      <c r="D73" s="63"/>
      <c r="E73" s="64">
        <f>+[5]BS17A!V634</f>
        <v>2179840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+[5]BS17!$D33</f>
        <v>0</v>
      </c>
      <c r="D74" s="89"/>
      <c r="E74" s="90">
        <f>+[5]BS17A!V654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+[5]BS17!$D34</f>
        <v>0</v>
      </c>
      <c r="D75" s="94"/>
      <c r="E75" s="95">
        <f>+[5]BS17A!V783</f>
        <v>0</v>
      </c>
      <c r="F75" s="8"/>
    </row>
    <row r="76" spans="1:7" ht="15" customHeight="1" x14ac:dyDescent="0.2">
      <c r="A76" s="96"/>
      <c r="B76" s="246" t="s">
        <v>123</v>
      </c>
      <c r="C76" s="56">
        <f>+C55+C68+C75</f>
        <v>72295</v>
      </c>
      <c r="D76" s="57"/>
      <c r="E76" s="98">
        <f>+E55+E68+E75</f>
        <v>159957370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53" t="s">
        <v>124</v>
      </c>
      <c r="B79" s="754"/>
      <c r="C79" s="754"/>
      <c r="D79" s="754"/>
      <c r="E79" s="755"/>
      <c r="F79" s="51"/>
      <c r="G79" s="52"/>
    </row>
    <row r="80" spans="1:7" ht="45" customHeight="1" x14ac:dyDescent="0.2">
      <c r="A80" s="11" t="s">
        <v>8</v>
      </c>
      <c r="B80" s="243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+[5]BS17!D49</f>
        <v>0</v>
      </c>
      <c r="D81" s="61"/>
      <c r="E81" s="103">
        <f>+SUM([5]BS17A!V673+[5]BS17A!V719)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+[5]BS17!E130</f>
        <v>1364</v>
      </c>
      <c r="D82" s="63"/>
      <c r="E82" s="105">
        <f>+[5]BS17A!V1574</f>
        <v>11689110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+[5]BS17A!D1849</f>
        <v>39</v>
      </c>
      <c r="D83" s="67"/>
      <c r="E83" s="106">
        <f>+[5]BS17A!V1849</f>
        <v>2669030</v>
      </c>
      <c r="F83" s="8"/>
    </row>
    <row r="84" spans="1:6" ht="17.25" customHeight="1" x14ac:dyDescent="0.2">
      <c r="A84" s="96"/>
      <c r="B84" s="246" t="s">
        <v>130</v>
      </c>
      <c r="C84" s="56">
        <f>+SUM(C81:C83)</f>
        <v>1403</v>
      </c>
      <c r="D84" s="57"/>
      <c r="E84" s="107">
        <f>SUM(E81:E83)</f>
        <v>14358140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243" t="s">
        <v>132</v>
      </c>
      <c r="D89" s="108" t="s">
        <v>133</v>
      </c>
      <c r="E89" s="13" t="s">
        <v>134</v>
      </c>
      <c r="F89" s="24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+[5]BS17!F68</f>
        <v>0</v>
      </c>
      <c r="D90" s="110">
        <f>+[5]BS17!G68</f>
        <v>0</v>
      </c>
      <c r="E90" s="111">
        <f>+[5]BS17!H68</f>
        <v>0</v>
      </c>
      <c r="F90" s="112">
        <f>[5]BS17A!V811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+[5]BS17!F69</f>
        <v>136</v>
      </c>
      <c r="D91" s="114">
        <f>+[5]BS17!G69</f>
        <v>0</v>
      </c>
      <c r="E91" s="115">
        <f>+[5]BS17!H69</f>
        <v>0</v>
      </c>
      <c r="F91" s="116">
        <f>[5]BS17A!V882</f>
        <v>40264110</v>
      </c>
    </row>
    <row r="92" spans="1:6" ht="15" customHeight="1" x14ac:dyDescent="0.2">
      <c r="A92" s="22" t="s">
        <v>139</v>
      </c>
      <c r="B92" s="27" t="s">
        <v>140</v>
      </c>
      <c r="C92" s="113">
        <f>+[5]BS17!F70</f>
        <v>31</v>
      </c>
      <c r="D92" s="114">
        <f>+[5]BS17!G70</f>
        <v>1</v>
      </c>
      <c r="E92" s="115">
        <f>+[5]BS17!H70</f>
        <v>0</v>
      </c>
      <c r="F92" s="116">
        <f>[5]BS17A!V961</f>
        <v>3363375</v>
      </c>
    </row>
    <row r="93" spans="1:6" ht="15" customHeight="1" x14ac:dyDescent="0.2">
      <c r="A93" s="22" t="s">
        <v>141</v>
      </c>
      <c r="B93" s="27" t="s">
        <v>142</v>
      </c>
      <c r="C93" s="113">
        <f>+[5]BS17!F71</f>
        <v>5</v>
      </c>
      <c r="D93" s="114">
        <f>+[5]BS17!G71</f>
        <v>0</v>
      </c>
      <c r="E93" s="115">
        <f>+[5]BS17!H71</f>
        <v>0</v>
      </c>
      <c r="F93" s="116">
        <f>[5]BS17A!V1037</f>
        <v>718080</v>
      </c>
    </row>
    <row r="94" spans="1:6" ht="15" customHeight="1" x14ac:dyDescent="0.2">
      <c r="A94" s="22" t="s">
        <v>143</v>
      </c>
      <c r="B94" s="27" t="s">
        <v>144</v>
      </c>
      <c r="C94" s="113">
        <f>+[5]BS17!F72</f>
        <v>67</v>
      </c>
      <c r="D94" s="114">
        <f>+[5]BS17!G72</f>
        <v>0</v>
      </c>
      <c r="E94" s="115">
        <f>+[5]BS17!H72</f>
        <v>0</v>
      </c>
      <c r="F94" s="116">
        <f>[5]BS17A!V1098</f>
        <v>2830570</v>
      </c>
    </row>
    <row r="95" spans="1:6" ht="15" customHeight="1" x14ac:dyDescent="0.2">
      <c r="A95" s="22" t="s">
        <v>145</v>
      </c>
      <c r="B95" s="27" t="s">
        <v>146</v>
      </c>
      <c r="C95" s="113">
        <f>+[5]BS17!F73</f>
        <v>115</v>
      </c>
      <c r="D95" s="114">
        <f>+[5]BS17!G73</f>
        <v>1</v>
      </c>
      <c r="E95" s="115">
        <f>+[5]BS17!H73</f>
        <v>0</v>
      </c>
      <c r="F95" s="116">
        <f>[5]BS17A!V1166</f>
        <v>2443315</v>
      </c>
    </row>
    <row r="96" spans="1:6" ht="15" customHeight="1" x14ac:dyDescent="0.2">
      <c r="A96" s="22" t="s">
        <v>147</v>
      </c>
      <c r="B96" s="27" t="s">
        <v>148</v>
      </c>
      <c r="C96" s="113">
        <f>+[5]BS17!F74</f>
        <v>1</v>
      </c>
      <c r="D96" s="114">
        <f>+[5]BS17!G74</f>
        <v>0</v>
      </c>
      <c r="E96" s="115">
        <f>+[5]BS17!H74</f>
        <v>0</v>
      </c>
      <c r="F96" s="116">
        <f>[5]BS17A!V1221</f>
        <v>128680</v>
      </c>
    </row>
    <row r="97" spans="1:6" ht="15" customHeight="1" x14ac:dyDescent="0.2">
      <c r="A97" s="22" t="s">
        <v>149</v>
      </c>
      <c r="B97" s="27" t="s">
        <v>150</v>
      </c>
      <c r="C97" s="113">
        <f>+[5]BS17!F75</f>
        <v>3</v>
      </c>
      <c r="D97" s="114">
        <f>+[5]BS17!G75</f>
        <v>0</v>
      </c>
      <c r="E97" s="115">
        <f>+[5]BS17!H75</f>
        <v>0</v>
      </c>
      <c r="F97" s="116">
        <f>[5]BS17A!V1287</f>
        <v>224310</v>
      </c>
    </row>
    <row r="98" spans="1:6" ht="15" customHeight="1" x14ac:dyDescent="0.2">
      <c r="A98" s="22" t="s">
        <v>151</v>
      </c>
      <c r="B98" s="27" t="s">
        <v>152</v>
      </c>
      <c r="C98" s="113">
        <f>+[5]BS17!F76</f>
        <v>145</v>
      </c>
      <c r="D98" s="114">
        <f>+[5]BS17!G76</f>
        <v>19</v>
      </c>
      <c r="E98" s="115">
        <f>+[5]BS17!H76</f>
        <v>0</v>
      </c>
      <c r="F98" s="116">
        <f>[5]BS17A!V1357</f>
        <v>33605030</v>
      </c>
    </row>
    <row r="99" spans="1:6" ht="15" customHeight="1" x14ac:dyDescent="0.2">
      <c r="A99" s="22" t="s">
        <v>153</v>
      </c>
      <c r="B99" s="27" t="s">
        <v>154</v>
      </c>
      <c r="C99" s="113">
        <f>+[5]BS17!F77</f>
        <v>9</v>
      </c>
      <c r="D99" s="114">
        <f>+[5]BS17!G77</f>
        <v>0</v>
      </c>
      <c r="E99" s="115">
        <f>+[5]BS17!H77</f>
        <v>0</v>
      </c>
      <c r="F99" s="116">
        <f>[5]BS17A!V1441</f>
        <v>734240</v>
      </c>
    </row>
    <row r="100" spans="1:6" ht="15" customHeight="1" x14ac:dyDescent="0.2">
      <c r="A100" s="22" t="s">
        <v>155</v>
      </c>
      <c r="B100" s="27" t="s">
        <v>156</v>
      </c>
      <c r="C100" s="113">
        <f>+[5]BS17!F78</f>
        <v>33</v>
      </c>
      <c r="D100" s="114">
        <f>+[5]BS17!G78</f>
        <v>1</v>
      </c>
      <c r="E100" s="115">
        <f>+[5]BS17!H78</f>
        <v>0</v>
      </c>
      <c r="F100" s="116">
        <f>[5]BS17A!V1489</f>
        <v>7004480</v>
      </c>
    </row>
    <row r="101" spans="1:6" ht="15" customHeight="1" x14ac:dyDescent="0.2">
      <c r="A101" s="22" t="s">
        <v>157</v>
      </c>
      <c r="B101" s="27" t="s">
        <v>158</v>
      </c>
      <c r="C101" s="113">
        <f>+[5]BS17!F79</f>
        <v>10</v>
      </c>
      <c r="D101" s="114">
        <f>+[5]BS17!G79</f>
        <v>0</v>
      </c>
      <c r="E101" s="115">
        <f>+[5]BS17!H79</f>
        <v>0</v>
      </c>
      <c r="F101" s="116">
        <f>[5]BS17A!V1592</f>
        <v>2615080</v>
      </c>
    </row>
    <row r="102" spans="1:6" ht="15" customHeight="1" x14ac:dyDescent="0.2">
      <c r="A102" s="65" t="s">
        <v>159</v>
      </c>
      <c r="B102" s="29" t="s">
        <v>160</v>
      </c>
      <c r="C102" s="117">
        <f>+[5]BS17!F80</f>
        <v>42</v>
      </c>
      <c r="D102" s="118">
        <f>+[5]BS17!G80</f>
        <v>4</v>
      </c>
      <c r="E102" s="119">
        <f>+[5]BS17!H80</f>
        <v>0</v>
      </c>
      <c r="F102" s="120">
        <f>[5]BS17A!V1597</f>
        <v>7819570</v>
      </c>
    </row>
    <row r="103" spans="1:6" ht="15" customHeight="1" x14ac:dyDescent="0.2">
      <c r="A103" s="17" t="s">
        <v>161</v>
      </c>
      <c r="B103" s="36" t="s">
        <v>162</v>
      </c>
      <c r="C103" s="109">
        <f>+[5]BS17!F81</f>
        <v>67</v>
      </c>
      <c r="D103" s="110">
        <f>+[5]BS17!G81</f>
        <v>1</v>
      </c>
      <c r="E103" s="111">
        <f>+[5]BS17!H81</f>
        <v>0</v>
      </c>
      <c r="F103" s="112">
        <f>+[5]BS17A!V1631</f>
        <v>7943805</v>
      </c>
    </row>
    <row r="104" spans="1:6" ht="15" customHeight="1" x14ac:dyDescent="0.2">
      <c r="A104" s="22"/>
      <c r="B104" s="27" t="s">
        <v>163</v>
      </c>
      <c r="C104" s="113">
        <f>+[5]BS17A!D1635</f>
        <v>0</v>
      </c>
      <c r="D104" s="114">
        <f>+[5]BS17A!F1635</f>
        <v>0</v>
      </c>
      <c r="E104" s="115">
        <f>+[5]BS17A!G1635</f>
        <v>0</v>
      </c>
      <c r="F104" s="116">
        <f>+[5]BS17A!V1635</f>
        <v>0</v>
      </c>
    </row>
    <row r="105" spans="1:6" ht="15" customHeight="1" x14ac:dyDescent="0.2">
      <c r="A105" s="22"/>
      <c r="B105" s="27" t="s">
        <v>164</v>
      </c>
      <c r="C105" s="113">
        <f>+[5]BS17A!D1634</f>
        <v>36</v>
      </c>
      <c r="D105" s="114">
        <f>+[5]BS17A!F1634</f>
        <v>0</v>
      </c>
      <c r="E105" s="115">
        <f>+[5]BS17A!G1634</f>
        <v>0</v>
      </c>
      <c r="F105" s="116">
        <f>+[5]BS17A!V1634</f>
        <v>4781520</v>
      </c>
    </row>
    <row r="106" spans="1:6" ht="15" customHeight="1" x14ac:dyDescent="0.2">
      <c r="A106" s="28"/>
      <c r="B106" s="39" t="s">
        <v>165</v>
      </c>
      <c r="C106" s="121">
        <f>+[5]BS17A!D1632+[5]BS17A!D1633</f>
        <v>31</v>
      </c>
      <c r="D106" s="122">
        <f>+[5]BS17A!F1632+[5]BS17A!F1633</f>
        <v>1</v>
      </c>
      <c r="E106" s="123">
        <f>+[5]BS17A!G1632+[5]BS17A!G1633</f>
        <v>0</v>
      </c>
      <c r="F106" s="124">
        <f>+[5]BS17A!V1632+[5]BS17A!V1633</f>
        <v>3162285</v>
      </c>
    </row>
    <row r="107" spans="1:6" ht="15" customHeight="1" x14ac:dyDescent="0.2">
      <c r="A107" s="59" t="s">
        <v>166</v>
      </c>
      <c r="B107" s="79" t="s">
        <v>167</v>
      </c>
      <c r="C107" s="125">
        <f>+[5]BS17!F82</f>
        <v>50</v>
      </c>
      <c r="D107" s="126">
        <f>+[5]BS17!G82</f>
        <v>2</v>
      </c>
      <c r="E107" s="127">
        <f>+[5]BS17!H82</f>
        <v>0</v>
      </c>
      <c r="F107" s="128">
        <f>+[5]BS17A!V1639</f>
        <v>9916140</v>
      </c>
    </row>
    <row r="108" spans="1:6" ht="15" customHeight="1" x14ac:dyDescent="0.2">
      <c r="A108" s="129">
        <v>2106</v>
      </c>
      <c r="B108" s="39" t="s">
        <v>168</v>
      </c>
      <c r="C108" s="121">
        <f>[5]BS17A!D1845</f>
        <v>5</v>
      </c>
      <c r="D108" s="122">
        <f>[5]BS17A!F1845</f>
        <v>0</v>
      </c>
      <c r="E108" s="123">
        <f>[5]BS17A!G1845</f>
        <v>0</v>
      </c>
      <c r="F108" s="124">
        <f>+[5]BS17A!V1845</f>
        <v>277750</v>
      </c>
    </row>
    <row r="109" spans="1:6" ht="15" customHeight="1" x14ac:dyDescent="0.2">
      <c r="A109" s="130"/>
      <c r="B109" s="131" t="s">
        <v>169</v>
      </c>
      <c r="C109" s="132">
        <f>SUM(C90:C108)-C103</f>
        <v>719</v>
      </c>
      <c r="D109" s="133">
        <f>SUM(D90:D108)-D103</f>
        <v>29</v>
      </c>
      <c r="E109" s="134">
        <f>+SUM(E90:E103)+E107+E108</f>
        <v>0</v>
      </c>
      <c r="F109" s="135">
        <f>+SUM(F90:F103)+F107+F108</f>
        <v>119888535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53" t="s">
        <v>170</v>
      </c>
      <c r="B112" s="754"/>
      <c r="C112" s="754"/>
      <c r="D112" s="754"/>
      <c r="E112" s="755"/>
      <c r="F112" s="5"/>
    </row>
    <row r="113" spans="1:6" ht="49.5" customHeight="1" x14ac:dyDescent="0.2">
      <c r="A113" s="11" t="s">
        <v>8</v>
      </c>
      <c r="B113" s="11" t="s">
        <v>9</v>
      </c>
      <c r="C113" s="242" t="s">
        <v>10</v>
      </c>
      <c r="D113" s="13" t="s">
        <v>11</v>
      </c>
      <c r="E113" s="24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+[5]BS17A!D1636</f>
        <v>86</v>
      </c>
      <c r="D114" s="136">
        <f>+[5]BS17A!U1636</f>
        <v>132810</v>
      </c>
      <c r="E114" s="137">
        <f>+[5]BS17A!V1636</f>
        <v>11421660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+[5]BS17A!D1637</f>
        <v>2</v>
      </c>
      <c r="D115" s="139">
        <f>+[5]BS17A!U1637</f>
        <v>139740</v>
      </c>
      <c r="E115" s="106">
        <f>+[5]BS17A!V1637</f>
        <v>279480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88</v>
      </c>
      <c r="D116" s="57"/>
      <c r="E116" s="107">
        <f>SUM(E114:E115)</f>
        <v>11701140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64" t="s">
        <v>176</v>
      </c>
      <c r="B119" s="764"/>
      <c r="C119" s="764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+[5]BS17A!V1871+[5]BS17A!V1889+[5]BS17A!V1914</f>
        <v>14445800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53" t="s">
        <v>179</v>
      </c>
      <c r="B124" s="754"/>
      <c r="C124" s="754"/>
      <c r="D124" s="754"/>
      <c r="E124" s="755"/>
      <c r="F124" s="5"/>
    </row>
    <row r="125" spans="1:6" ht="45.75" customHeight="1" x14ac:dyDescent="0.2">
      <c r="A125" s="11" t="s">
        <v>8</v>
      </c>
      <c r="B125" s="11" t="s">
        <v>9</v>
      </c>
      <c r="C125" s="242" t="s">
        <v>10</v>
      </c>
      <c r="D125" s="13" t="s">
        <v>11</v>
      </c>
      <c r="E125" s="24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+[5]BS17A!$D59</f>
        <v>5576</v>
      </c>
      <c r="D126" s="37">
        <f>+[5]BS17A!$U59</f>
        <v>34010</v>
      </c>
      <c r="E126" s="145">
        <f>+[5]BS17A!$V59</f>
        <v>189639760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+[5]BS17A!$D60</f>
        <v>0</v>
      </c>
      <c r="D127" s="24">
        <f>+[5]BS17A!$U60</f>
        <v>31310</v>
      </c>
      <c r="E127" s="146">
        <f>+[5]BS17A!$V60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+[5]BS17A!$D61</f>
        <v>0</v>
      </c>
      <c r="D128" s="24">
        <f>+[5]BS17A!$U61</f>
        <v>26100</v>
      </c>
      <c r="E128" s="146">
        <f>+[5]BS17A!$V61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SUM([5]BS17A!D62:D64)</f>
        <v>232</v>
      </c>
      <c r="D129" s="24">
        <f>+[5]BS17A!$U62</f>
        <v>141410</v>
      </c>
      <c r="E129" s="146">
        <f>SUM([5]BS17A!V62:V64)</f>
        <v>32807120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SUM([5]BS17A!D65:D67)</f>
        <v>325</v>
      </c>
      <c r="D130" s="24">
        <f>+[5]BS17A!$U65</f>
        <v>68290</v>
      </c>
      <c r="E130" s="146">
        <f>SUM([5]BS17A!V65:V67)</f>
        <v>22194250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+[5]BS17A!D68</f>
        <v>161</v>
      </c>
      <c r="D131" s="24">
        <f>+[5]BS17A!$U68</f>
        <v>61270</v>
      </c>
      <c r="E131" s="146">
        <f>+[5]BS17A!$V68</f>
        <v>9864470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+[5]BS17A!$D69</f>
        <v>0</v>
      </c>
      <c r="D132" s="24">
        <f>+[5]BS17A!$U69</f>
        <v>17390</v>
      </c>
      <c r="E132" s="146">
        <f>+[5]BS17A!$V69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+[5]BS17A!$D70</f>
        <v>0</v>
      </c>
      <c r="D133" s="24">
        <f>+[5]BS17A!$U70</f>
        <v>27240</v>
      </c>
      <c r="E133" s="146">
        <f>+[5]BS17A!$V70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+[5]BS17A!$D73</f>
        <v>0</v>
      </c>
      <c r="D134" s="24">
        <f>+[5]BS17A!$U73</f>
        <v>27470</v>
      </c>
      <c r="E134" s="146">
        <f>+[5]BS17A!$V73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+[5]BS17A!$D71</f>
        <v>0</v>
      </c>
      <c r="D135" s="24">
        <f>+[5]BS17A!$U71</f>
        <v>28360</v>
      </c>
      <c r="E135" s="146">
        <f>+[5]BS17A!$V71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+[5]BS17A!$D76</f>
        <v>0</v>
      </c>
      <c r="D136" s="24">
        <f>+[5]BS17A!$U76</f>
        <v>34010</v>
      </c>
      <c r="E136" s="146">
        <f>+[5]BS17A!$V76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+[5]BS17A!$D79</f>
        <v>31</v>
      </c>
      <c r="D137" s="24">
        <f>+[5]BS17A!$U79</f>
        <v>6600</v>
      </c>
      <c r="E137" s="146">
        <f>+[5]BS17A!$V79</f>
        <v>204600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+[5]BS17A!$D80</f>
        <v>0</v>
      </c>
      <c r="D138" s="24">
        <f>+[5]BS17A!$U80</f>
        <v>47670</v>
      </c>
      <c r="E138" s="146">
        <f>+[5]BS17A!$V80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6325</v>
      </c>
      <c r="D139" s="149"/>
      <c r="E139" s="150">
        <f>SUM(E126:E138)</f>
        <v>254710200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+[5]BS17A!$D72</f>
        <v>0</v>
      </c>
      <c r="D141" s="24">
        <f>+[5]BS17A!$U72</f>
        <v>11430</v>
      </c>
      <c r="E141" s="146">
        <f>+[5]BS17A!$V72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+[5]BS17A!$D74</f>
        <v>0</v>
      </c>
      <c r="D142" s="24">
        <f>+[5]BS17A!$U74</f>
        <v>11430</v>
      </c>
      <c r="E142" s="146">
        <f>+[5]BS17A!$V74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+[5]BS17A!$D75</f>
        <v>2</v>
      </c>
      <c r="D143" s="24">
        <f>+[5]BS17A!$U75</f>
        <v>5040</v>
      </c>
      <c r="E143" s="146">
        <f>+[5]BS17A!$V75</f>
        <v>10080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+[5]BS17A!$D77</f>
        <v>0</v>
      </c>
      <c r="D144" s="24">
        <f>+[5]BS17A!$U77</f>
        <v>91950</v>
      </c>
      <c r="E144" s="146">
        <f>+[5]BS17A!$V77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+[5]BS17A!$D78</f>
        <v>0</v>
      </c>
      <c r="D145" s="24">
        <f>+[5]BS17A!$U78</f>
        <v>10860</v>
      </c>
      <c r="E145" s="146">
        <f>+[5]BS17A!$V78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+[5]BS17A!$D81</f>
        <v>0</v>
      </c>
      <c r="D146" s="24">
        <f>+[5]BS17A!$U81</f>
        <v>8360</v>
      </c>
      <c r="E146" s="146">
        <f>+[5]BS17A!$V81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2</v>
      </c>
      <c r="D147" s="149"/>
      <c r="E147" s="150">
        <f>SUM(E141:E146)</f>
        <v>10080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6327</v>
      </c>
      <c r="D148" s="151"/>
      <c r="E148" s="152">
        <f>+E139+E147</f>
        <v>254720280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45" t="s">
        <v>222</v>
      </c>
      <c r="B151" s="746"/>
      <c r="C151" s="746"/>
      <c r="D151" s="746"/>
      <c r="E151" s="747"/>
      <c r="F151" s="5"/>
    </row>
    <row r="152" spans="1:6" ht="47.25" customHeight="1" x14ac:dyDescent="0.2">
      <c r="A152" s="11" t="s">
        <v>8</v>
      </c>
      <c r="B152" s="11" t="s">
        <v>9</v>
      </c>
      <c r="C152" s="242" t="s">
        <v>10</v>
      </c>
      <c r="D152" s="13" t="s">
        <v>11</v>
      </c>
      <c r="E152" s="24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+[5]BS17A!D43</f>
        <v>291</v>
      </c>
      <c r="D153" s="37">
        <f>[5]BS17A!U43</f>
        <v>780</v>
      </c>
      <c r="E153" s="145">
        <f>+[5]BS17A!V43</f>
        <v>226980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+[5]BS17A!D44+[5]BS17A!D45</f>
        <v>0</v>
      </c>
      <c r="D154" s="40">
        <f>[5]BS17A!U44</f>
        <v>100</v>
      </c>
      <c r="E154" s="153">
        <f>+[5]BS17A!V44+[5]BS17A!V45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291</v>
      </c>
      <c r="D155" s="151"/>
      <c r="E155" s="152">
        <f>SUM(E153:E154)</f>
        <v>226980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5"/>
    </row>
    <row r="159" spans="1:6" ht="47.25" customHeight="1" x14ac:dyDescent="0.2">
      <c r="A159" s="11" t="s">
        <v>8</v>
      </c>
      <c r="B159" s="11" t="s">
        <v>9</v>
      </c>
      <c r="C159" s="242" t="s">
        <v>10</v>
      </c>
      <c r="D159" s="13" t="s">
        <v>11</v>
      </c>
      <c r="E159" s="24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+[5]BS17A!$D1481</f>
        <v>0</v>
      </c>
      <c r="D160" s="37">
        <f>+[5]BS17A!$U1481</f>
        <v>42830</v>
      </c>
      <c r="E160" s="145">
        <f>+[5]BS17A!$V1481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+[5]BS17A!$D1482</f>
        <v>0</v>
      </c>
      <c r="D161" s="24">
        <f>+[5]BS17A!$U1482</f>
        <v>26930</v>
      </c>
      <c r="E161" s="146">
        <f>+[5]BS17A!$V1482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+[5]BS17A!$D1483</f>
        <v>0</v>
      </c>
      <c r="D162" s="24">
        <f>+[5]BS17A!$U1483</f>
        <v>27740</v>
      </c>
      <c r="E162" s="146">
        <f>+[5]BS17A!$V1483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+[5]BS17A!$D1484</f>
        <v>0</v>
      </c>
      <c r="D163" s="24">
        <f>+[5]BS17A!$U1484</f>
        <v>832280</v>
      </c>
      <c r="E163" s="146">
        <f>+[5]BS17A!$V1484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+[5]BS17A!$D1485</f>
        <v>0</v>
      </c>
      <c r="D164" s="24">
        <f>+[5]BS17A!$U1485</f>
        <v>378030</v>
      </c>
      <c r="E164" s="146">
        <f>+[5]BS17A!$V1485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+[5]BS17A!$D1486</f>
        <v>0</v>
      </c>
      <c r="D165" s="24">
        <f>+[5]BS17A!$U1486</f>
        <v>578050</v>
      </c>
      <c r="E165" s="146">
        <f>+[5]BS17A!$V1486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+[5]BS17A!$D1487</f>
        <v>0</v>
      </c>
      <c r="D166" s="24">
        <f>+[5]BS17A!$U1487</f>
        <v>52120</v>
      </c>
      <c r="E166" s="146">
        <f>+[5]BS17A!$V1487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+[5]BS17A!$D1488</f>
        <v>0</v>
      </c>
      <c r="D167" s="40">
        <f>+[5]BS17A!$U1488</f>
        <v>677560</v>
      </c>
      <c r="E167" s="153">
        <f>+[5]BS17A!$V1488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5"/>
    </row>
    <row r="172" spans="1:6" ht="46.5" customHeight="1" x14ac:dyDescent="0.2">
      <c r="A172" s="11" t="s">
        <v>8</v>
      </c>
      <c r="B172" s="11" t="s">
        <v>9</v>
      </c>
      <c r="C172" s="242" t="s">
        <v>10</v>
      </c>
      <c r="D172" s="13" t="s">
        <v>11</v>
      </c>
      <c r="E172" s="244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+[5]BS17A!$D805</f>
        <v>16</v>
      </c>
      <c r="D173" s="37">
        <f>+[5]BS17A!$U805</f>
        <v>14690</v>
      </c>
      <c r="E173" s="145">
        <f>+[5]BS17A!$V805</f>
        <v>235040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+[5]BS17A!$D806</f>
        <v>0</v>
      </c>
      <c r="D174" s="24">
        <f>+[5]BS17A!$U806</f>
        <v>11740</v>
      </c>
      <c r="E174" s="146">
        <f>+[5]BS17A!$V806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+[5]BS17A!$D1197</f>
        <v>591</v>
      </c>
      <c r="D175" s="24">
        <f>+[5]BS17A!$U1197</f>
        <v>5030</v>
      </c>
      <c r="E175" s="146">
        <f>+[5]BS17A!$V1197</f>
        <v>2972730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+[5]BS17A!$D1198</f>
        <v>22</v>
      </c>
      <c r="D176" s="24">
        <f>+[5]BS17A!$U1198</f>
        <v>14180</v>
      </c>
      <c r="E176" s="146">
        <f>+[5]BS17A!$V1198</f>
        <v>311960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+[5]BS17A!$D1199</f>
        <v>62</v>
      </c>
      <c r="D177" s="24">
        <f>+[5]BS17A!$U1199</f>
        <v>24050</v>
      </c>
      <c r="E177" s="146">
        <f>+[5]BS17A!$V1199</f>
        <v>1491100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+[5]BS17A!$D1200</f>
        <v>0</v>
      </c>
      <c r="D178" s="24">
        <f>+[5]BS17A!$U1200</f>
        <v>45920</v>
      </c>
      <c r="E178" s="146">
        <f>+[5]BS17A!$V1200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+[5]BS17A!$D1201</f>
        <v>127</v>
      </c>
      <c r="D179" s="24">
        <f>+[5]BS17A!$U1201</f>
        <v>51180</v>
      </c>
      <c r="E179" s="146">
        <f>+[5]BS17A!$V1201</f>
        <v>6499860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+[5]BS17A!$D1202</f>
        <v>0</v>
      </c>
      <c r="D180" s="24">
        <f>+[5]BS17A!$U1202</f>
        <v>28710</v>
      </c>
      <c r="E180" s="146">
        <f>+[5]BS17A!$V1202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+[5]BS17A!$D1203</f>
        <v>0</v>
      </c>
      <c r="D181" s="24">
        <f>+[5]BS17A!$U1203</f>
        <v>222100</v>
      </c>
      <c r="E181" s="146">
        <f>+[5]BS17A!$V1203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+[5]BS17A!$D1204</f>
        <v>0</v>
      </c>
      <c r="D182" s="24">
        <f>+[5]BS17A!$U1204</f>
        <v>252490</v>
      </c>
      <c r="E182" s="146">
        <f>+[5]BS17A!$V1204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+[5]BS17A!$D1205</f>
        <v>0</v>
      </c>
      <c r="D183" s="24">
        <f>+[5]BS17A!$U1205</f>
        <v>205900</v>
      </c>
      <c r="E183" s="146">
        <f>+[5]BS17A!$V1205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+[5]BS17A!$D1206</f>
        <v>0</v>
      </c>
      <c r="D184" s="24">
        <f>+[5]BS17A!$U1206</f>
        <v>264470</v>
      </c>
      <c r="E184" s="146">
        <f>+[5]BS17A!$V1206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+[5]BS17A!$D1207</f>
        <v>0</v>
      </c>
      <c r="D185" s="24">
        <f>+[5]BS17A!$U1207</f>
        <v>270610</v>
      </c>
      <c r="E185" s="146">
        <f>+[5]BS17A!$V1207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+[5]BS17A!$D1208</f>
        <v>0</v>
      </c>
      <c r="D186" s="24">
        <f>+[5]BS17A!$U1208</f>
        <v>228850</v>
      </c>
      <c r="E186" s="146">
        <f>+[5]BS17A!$V1208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+[5]BS17A!$D1209</f>
        <v>0</v>
      </c>
      <c r="D187" s="24">
        <f>+[5]BS17A!$U1209</f>
        <v>244270</v>
      </c>
      <c r="E187" s="146">
        <f>+[5]BS17A!$V1209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+[5]BS17A!$D1210</f>
        <v>0</v>
      </c>
      <c r="D188" s="24">
        <f>+[5]BS17A!$U1210</f>
        <v>292090</v>
      </c>
      <c r="E188" s="146">
        <f>+[5]BS17A!$V1210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+[5]BS17A!$D1211</f>
        <v>0</v>
      </c>
      <c r="D189" s="24">
        <f>+[5]BS17A!$U1211</f>
        <v>259010</v>
      </c>
      <c r="E189" s="146">
        <f>+[5]BS17A!$V1211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+[5]BS17A!$D1212</f>
        <v>0</v>
      </c>
      <c r="D190" s="24">
        <f>+[5]BS17A!$U1212</f>
        <v>1895520</v>
      </c>
      <c r="E190" s="146">
        <f>+[5]BS17A!$V1212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+[5]BS17A!$D1213</f>
        <v>0</v>
      </c>
      <c r="D191" s="24">
        <f>+[5]BS17A!$U1213</f>
        <v>1183940</v>
      </c>
      <c r="E191" s="146">
        <f>+[5]BS17A!$V1213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+[5]BS17A!$D1214</f>
        <v>0</v>
      </c>
      <c r="D192" s="24">
        <f>+[5]BS17A!$U1214</f>
        <v>1145920</v>
      </c>
      <c r="E192" s="146">
        <f>+[5]BS17A!$V1214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+[5]BS17A!$D1215</f>
        <v>0</v>
      </c>
      <c r="D193" s="24">
        <f>+[5]BS17A!$U1215</f>
        <v>1200500</v>
      </c>
      <c r="E193" s="146">
        <f>+[5]BS17A!$V1215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+[5]BS17A!$D1216</f>
        <v>0</v>
      </c>
      <c r="D194" s="24">
        <f>+[5]BS17A!$U1216</f>
        <v>169880</v>
      </c>
      <c r="E194" s="146">
        <f>+[5]BS17A!$V1216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+[5]BS17A!$D1217</f>
        <v>0</v>
      </c>
      <c r="D195" s="24">
        <f>+[5]BS17A!$U1217</f>
        <v>387660</v>
      </c>
      <c r="E195" s="146">
        <f>+[5]BS17A!$V1217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+[5]BS17A!$D1218</f>
        <v>0</v>
      </c>
      <c r="D196" s="24">
        <f>+[5]BS17A!$U1218</f>
        <v>143720</v>
      </c>
      <c r="E196" s="146">
        <f>+[5]BS17A!$V1218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+[5]BS17A!$D1219</f>
        <v>0</v>
      </c>
      <c r="D197" s="24">
        <f>+[5]BS17A!$U1219</f>
        <v>1164440</v>
      </c>
      <c r="E197" s="146">
        <f>+[5]BS17A!$V1219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+[5]BS17A!$D1220</f>
        <v>0</v>
      </c>
      <c r="D198" s="24">
        <f>+[5]BS17A!$U1220</f>
        <v>1164440</v>
      </c>
      <c r="E198" s="146">
        <f>+[5]BS17A!$V1220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+[5]BS17A!$D1354</f>
        <v>60</v>
      </c>
      <c r="D199" s="24">
        <f>+[5]BS17A!$U1354</f>
        <v>34730</v>
      </c>
      <c r="E199" s="146">
        <f>+[5]BS17A!$V1354</f>
        <v>2083800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+[5]BS17A!$D1355</f>
        <v>0</v>
      </c>
      <c r="D200" s="24">
        <f>+[5]BS17A!$U1355</f>
        <v>41890</v>
      </c>
      <c r="E200" s="146">
        <f>+[5]BS17A!$V1355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+[5]BS17A!$D1356</f>
        <v>13</v>
      </c>
      <c r="D201" s="24">
        <f>+[5]BS17A!$U1356</f>
        <v>44620</v>
      </c>
      <c r="E201" s="146">
        <f>+[5]BS17A!$V1356</f>
        <v>580060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[5]BS17A!D1036</f>
        <v>0</v>
      </c>
      <c r="D202" s="24">
        <f>[5]BS17A!U1036</f>
        <v>9390</v>
      </c>
      <c r="E202" s="146">
        <f>[5]BS17A!V1036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[5]BS17A!D807</f>
        <v>0</v>
      </c>
      <c r="D203" s="24">
        <f>[5]BS17A!U807</f>
        <v>398560</v>
      </c>
      <c r="E203" s="146">
        <f>[5]BS17A!V807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[5]BS17A!D808</f>
        <v>0</v>
      </c>
      <c r="D204" s="24">
        <f>[5]BS17A!U808</f>
        <v>8946190</v>
      </c>
      <c r="E204" s="146">
        <f>[5]BS17A!V808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[5]BS17A!D809</f>
        <v>0</v>
      </c>
      <c r="D205" s="24">
        <f>[5]BS17A!U809</f>
        <v>229650</v>
      </c>
      <c r="E205" s="146">
        <f>[5]BS17A!V809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[5]BS17A!D810</f>
        <v>0</v>
      </c>
      <c r="D206" s="40">
        <f>[5]BS17A!U810</f>
        <v>1047210</v>
      </c>
      <c r="E206" s="153">
        <f>[5]BS17A!V810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891</v>
      </c>
      <c r="D207" s="151"/>
      <c r="E207" s="152">
        <f>SUM(E173:E206)</f>
        <v>14174550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5"/>
    </row>
    <row r="211" spans="1:6" ht="39.75" customHeight="1" x14ac:dyDescent="0.2">
      <c r="A211" s="11" t="s">
        <v>8</v>
      </c>
      <c r="B211" s="11" t="s">
        <v>9</v>
      </c>
      <c r="C211" s="242" t="s">
        <v>10</v>
      </c>
      <c r="D211" s="13" t="s">
        <v>11</v>
      </c>
      <c r="E211" s="244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+[5]BS17A!$D18</f>
        <v>0</v>
      </c>
      <c r="D212" s="37">
        <f>+[5]BS17A!$U18</f>
        <v>14530</v>
      </c>
      <c r="E212" s="145">
        <f>+[5]BS17A!$V18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+[5]BS17A!$D19</f>
        <v>48</v>
      </c>
      <c r="D213" s="24">
        <f>+[5]BS17A!$U19</f>
        <v>14530</v>
      </c>
      <c r="E213" s="146">
        <f>+[5]BS17A!$V19</f>
        <v>697440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+[5]BS17A!$D47</f>
        <v>0</v>
      </c>
      <c r="D214" s="24">
        <f>+[5]BS17A!$U47</f>
        <v>1390</v>
      </c>
      <c r="E214" s="146">
        <f>+[5]BS17A!$V47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+[5]BS17A!$D48</f>
        <v>439</v>
      </c>
      <c r="D215" s="24">
        <f>+[5]BS17A!$U48</f>
        <v>680</v>
      </c>
      <c r="E215" s="146">
        <f>+[5]BS17A!$V48</f>
        <v>298520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+[5]BS17A!$D49</f>
        <v>4568</v>
      </c>
      <c r="D216" s="24">
        <f>+[5]BS17A!$U49</f>
        <v>2060</v>
      </c>
      <c r="E216" s="146">
        <f>+[5]BS17A!$V49</f>
        <v>9410080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+[5]BS17A!$D50</f>
        <v>60</v>
      </c>
      <c r="D217" s="24">
        <f>+[5]BS17A!$U50</f>
        <v>15480</v>
      </c>
      <c r="E217" s="146">
        <f>+[5]BS17A!$V50</f>
        <v>928800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+[5]BS17A!$D51</f>
        <v>98</v>
      </c>
      <c r="D218" s="24">
        <f>+[5]BS17A!$U51</f>
        <v>35550</v>
      </c>
      <c r="E218" s="146">
        <f>+[5]BS17A!$V51</f>
        <v>3483900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+[5]BS17A!D52</f>
        <v>25</v>
      </c>
      <c r="D219" s="174"/>
      <c r="E219" s="146">
        <f>+[5]BS17A!V52</f>
        <v>221750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+[5]BS17A!$D1861</f>
        <v>36</v>
      </c>
      <c r="D220" s="40">
        <f>+[5]BS17A!$U1861</f>
        <v>28810</v>
      </c>
      <c r="E220" s="153">
        <f>+[5]BS17A!$V1861</f>
        <v>1037160</v>
      </c>
      <c r="F220" s="8"/>
    </row>
    <row r="221" spans="1:6" ht="12.75" x14ac:dyDescent="0.2">
      <c r="A221" s="130"/>
      <c r="B221" s="131" t="s">
        <v>329</v>
      </c>
      <c r="C221" s="44">
        <f>SUM(C212:C220)</f>
        <v>5274</v>
      </c>
      <c r="D221" s="151"/>
      <c r="E221" s="175">
        <f>SUM(E212:E220)</f>
        <v>16077650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65" t="s">
        <v>330</v>
      </c>
      <c r="B224" s="766"/>
      <c r="C224" s="767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242" t="s">
        <v>10</v>
      </c>
      <c r="D232" s="13" t="s">
        <v>11</v>
      </c>
      <c r="E232" s="244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+[5]BS17A!$D1941</f>
        <v>409</v>
      </c>
      <c r="D233" s="37">
        <f>+[5]BS17A!$U1941</f>
        <v>19890</v>
      </c>
      <c r="E233" s="145">
        <f>+[5]BS17A!$V1941</f>
        <v>8135010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+[5]BS17A!$D1942</f>
        <v>0</v>
      </c>
      <c r="D234" s="40">
        <f>+[5]BS17A!$U1942</f>
        <v>249320</v>
      </c>
      <c r="E234" s="153">
        <f>+[5]BS17A!$V1942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409</v>
      </c>
      <c r="D235" s="151"/>
      <c r="E235" s="152">
        <f>SUM(E233:E234)</f>
        <v>8135010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8"/>
    </row>
    <row r="239" spans="1:7" ht="41.25" customHeight="1" x14ac:dyDescent="0.2">
      <c r="A239" s="11" t="s">
        <v>8</v>
      </c>
      <c r="B239" s="11" t="s">
        <v>9</v>
      </c>
      <c r="C239" s="242" t="s">
        <v>10</v>
      </c>
      <c r="D239" s="13" t="s">
        <v>11</v>
      </c>
      <c r="E239" s="244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[5]BS17A!D768</f>
        <v>831</v>
      </c>
      <c r="D240" s="191"/>
      <c r="E240" s="192">
        <f>[5]BS17A!V768</f>
        <v>5851220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8"/>
    </row>
    <row r="243" spans="1:6" ht="43.5" customHeight="1" x14ac:dyDescent="0.2">
      <c r="A243" s="11" t="s">
        <v>8</v>
      </c>
      <c r="B243" s="242" t="s">
        <v>346</v>
      </c>
      <c r="C243" s="100" t="s">
        <v>347</v>
      </c>
      <c r="D243" s="13" t="s">
        <v>11</v>
      </c>
      <c r="E243" s="244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+[5]BS17A!$D1944</f>
        <v>0</v>
      </c>
      <c r="D244" s="37">
        <f>+[5]BS17A!$U1944</f>
        <v>254650</v>
      </c>
      <c r="E244" s="145">
        <f>+[5]BS17A!$V1944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+[5]BS17A!$D1945</f>
        <v>0</v>
      </c>
      <c r="D245" s="24">
        <f>+[5]BS17A!$U1945</f>
        <v>36180</v>
      </c>
      <c r="E245" s="146">
        <f>+[5]BS17A!$V1945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+[5]BS17A!$D1946</f>
        <v>0</v>
      </c>
      <c r="D246" s="24">
        <f>+[5]BS17A!$U1946</f>
        <v>136500</v>
      </c>
      <c r="E246" s="146">
        <f>+[5]BS17A!$V1946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+[5]BS17A!$D1947</f>
        <v>0</v>
      </c>
      <c r="D247" s="24">
        <f>+[5]BS17A!$U1947</f>
        <v>136500</v>
      </c>
      <c r="E247" s="146">
        <f>+[5]BS17A!$V1947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+[5]BS17A!$D1948</f>
        <v>0</v>
      </c>
      <c r="D248" s="24">
        <f>+[5]BS17A!$U1948</f>
        <v>248500</v>
      </c>
      <c r="E248" s="146">
        <f>+[5]BS17A!$V1948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+[5]BS17A!$D1949</f>
        <v>0</v>
      </c>
      <c r="D249" s="24">
        <f>+[5]BS17A!$U1949</f>
        <v>381350</v>
      </c>
      <c r="E249" s="146">
        <f>+[5]BS17A!$V1949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+[5]BS17A!$D1950</f>
        <v>0</v>
      </c>
      <c r="D250" s="24">
        <f>+[5]BS17A!$U1950</f>
        <v>650560</v>
      </c>
      <c r="E250" s="146">
        <f>+[5]BS17A!$V1950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+[5]BS17A!$D1951</f>
        <v>0</v>
      </c>
      <c r="D251" s="24">
        <f>+[5]BS17A!$U1951</f>
        <v>135500</v>
      </c>
      <c r="E251" s="146">
        <f>+[5]BS17A!$V1951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+[5]BS17A!$D1952</f>
        <v>0</v>
      </c>
      <c r="D252" s="24">
        <f>+[5]BS17A!$U1952</f>
        <v>365200</v>
      </c>
      <c r="E252" s="146">
        <f>+[5]BS17A!$V1952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+[5]BS17A!$D1953</f>
        <v>0</v>
      </c>
      <c r="D253" s="31">
        <f>+[5]BS17A!$U1953</f>
        <v>153770</v>
      </c>
      <c r="E253" s="198">
        <f>+[5]BS17A!$V1953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+[5]BS17A!$D1954</f>
        <v>0</v>
      </c>
      <c r="D254" s="31">
        <f>+[5]BS17A!$U1954</f>
        <v>133620</v>
      </c>
      <c r="E254" s="198">
        <f>+[5]BS17A!$V1954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+[5]BS17A!$D1955</f>
        <v>0</v>
      </c>
      <c r="D255" s="31">
        <f>+[5]BS17A!$U1955</f>
        <v>203150</v>
      </c>
      <c r="E255" s="198">
        <f>+[5]BS17A!$V1955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+[5]BS17A!$D1956</f>
        <v>0</v>
      </c>
      <c r="D256" s="31">
        <f>+[5]BS17A!$U1956</f>
        <v>53460</v>
      </c>
      <c r="E256" s="198">
        <f>+[5]BS17A!$V1956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+[5]BS17A!$D1957</f>
        <v>0</v>
      </c>
      <c r="D257" s="40">
        <f>+[5]BS17A!$U1957</f>
        <v>39950</v>
      </c>
      <c r="E257" s="153">
        <f>+[5]BS17A!$V1957</f>
        <v>0</v>
      </c>
      <c r="F257" s="8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+[5]BS17A!$D1958</f>
        <v>0</v>
      </c>
      <c r="D259" s="37">
        <f>+[5]BS17A!$U1958</f>
        <v>219080</v>
      </c>
      <c r="E259" s="145">
        <f>+[5]BS17A!$V1958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+[5]BS17A!$D1959</f>
        <v>0</v>
      </c>
      <c r="D260" s="24">
        <f>+[5]BS17A!$U1959</f>
        <v>1303250</v>
      </c>
      <c r="E260" s="146">
        <f>+[5]BS17A!$V1959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+[5]BS17A!$D1960</f>
        <v>0</v>
      </c>
      <c r="D261" s="24">
        <f>+[5]BS17A!$U1960</f>
        <v>196630</v>
      </c>
      <c r="E261" s="146">
        <f>+[5]BS17A!$V1960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+[5]BS17A!$D1961</f>
        <v>0</v>
      </c>
      <c r="D262" s="24">
        <f>+[5]BS17A!$U1961</f>
        <v>173880</v>
      </c>
      <c r="E262" s="146">
        <f>+[5]BS17A!$V1961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+[5]BS17A!$D1962</f>
        <v>0</v>
      </c>
      <c r="D263" s="24">
        <f>+[5]BS17A!$U1962</f>
        <v>352980</v>
      </c>
      <c r="E263" s="146">
        <f>+[5]BS17A!$V1962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+[5]BS17A!$D1963</f>
        <v>0</v>
      </c>
      <c r="D264" s="24">
        <f>+[5]BS17A!$U1963</f>
        <v>1173780</v>
      </c>
      <c r="E264" s="146">
        <f>+[5]BS17A!$V1963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+[5]BS17A!$D1964</f>
        <v>0</v>
      </c>
      <c r="D265" s="24">
        <f>+[5]BS17A!$U1964</f>
        <v>1206250</v>
      </c>
      <c r="E265" s="146">
        <f>+[5]BS17A!$V1964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+[5]BS17A!$D1965</f>
        <v>0</v>
      </c>
      <c r="D266" s="24">
        <f>+[5]BS17A!$U1965</f>
        <v>955090</v>
      </c>
      <c r="E266" s="146">
        <f>+[5]BS17A!$V1965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+[5]BS17A!$D1966</f>
        <v>0</v>
      </c>
      <c r="D267" s="24">
        <f>+[5]BS17A!$U1966</f>
        <v>1006570</v>
      </c>
      <c r="E267" s="146">
        <f>+[5]BS17A!$V1966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+[5]BS17A!$D1967</f>
        <v>0</v>
      </c>
      <c r="D268" s="24">
        <f>+[5]BS17A!$U1967</f>
        <v>397090</v>
      </c>
      <c r="E268" s="146">
        <f>+[5]BS17A!$V1967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+[5]BS17A!$D1968</f>
        <v>0</v>
      </c>
      <c r="D269" s="24">
        <f>+[5]BS17A!$U1968</f>
        <v>95100</v>
      </c>
      <c r="E269" s="146">
        <f>+[5]BS17A!$V1968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+[5]BS17A!$D1969</f>
        <v>0</v>
      </c>
      <c r="D270" s="24">
        <f>+[5]BS17A!$U1969</f>
        <v>283710</v>
      </c>
      <c r="E270" s="146">
        <f>+[5]BS17A!$V1969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+[5]BS17A!$D1970</f>
        <v>0</v>
      </c>
      <c r="D271" s="24">
        <f>+[5]BS17A!$U1970</f>
        <v>80220</v>
      </c>
      <c r="E271" s="146">
        <f>+[5]BS17A!$V1970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+[5]BS17A!$D1971</f>
        <v>0</v>
      </c>
      <c r="D272" s="24">
        <f>+[5]BS17A!$U1971</f>
        <v>1378400</v>
      </c>
      <c r="E272" s="146">
        <f>+[5]BS17A!$V1971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+[5]BS17A!$D1972</f>
        <v>0</v>
      </c>
      <c r="D273" s="24">
        <f>+[5]BS17A!$U1972</f>
        <v>322300</v>
      </c>
      <c r="E273" s="146">
        <f>+[5]BS17A!$V1972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+[5]BS17A!$D1973</f>
        <v>0</v>
      </c>
      <c r="D274" s="24">
        <f>+[5]BS17A!$U1973</f>
        <v>1079720</v>
      </c>
      <c r="E274" s="146">
        <f>+[5]BS17A!$V1973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+[5]BS17A!$D1974</f>
        <v>0</v>
      </c>
      <c r="D275" s="24">
        <f>+[5]BS17A!$U1974</f>
        <v>661000</v>
      </c>
      <c r="E275" s="146">
        <f>+[5]BS17A!$V1974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+[5]BS17A!$D1975</f>
        <v>0</v>
      </c>
      <c r="D276" s="31">
        <f>+[5]BS17A!$U1975</f>
        <v>539420</v>
      </c>
      <c r="E276" s="198">
        <f>+[5]BS17A!$V1975</f>
        <v>0</v>
      </c>
      <c r="F276" s="8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+[5]BS17A!$D1976</f>
        <v>0</v>
      </c>
      <c r="D278" s="20">
        <f>[5]BS17A!U1976</f>
        <v>290780</v>
      </c>
      <c r="E278" s="202">
        <f>+[5]BS17A!$V1976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+[5]BS17A!$D1977</f>
        <v>0</v>
      </c>
      <c r="D279" s="24">
        <f>[5]BS17A!U1977</f>
        <v>169530</v>
      </c>
      <c r="E279" s="146">
        <f>+[5]BS17A!$V1977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+[5]BS17A!$D1978</f>
        <v>0</v>
      </c>
      <c r="D280" s="24">
        <f>[5]BS17A!U1978</f>
        <v>409630</v>
      </c>
      <c r="E280" s="146">
        <f>+[5]BS17A!$V1978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+[5]BS17A!$D1979</f>
        <v>0</v>
      </c>
      <c r="D281" s="24">
        <f>[5]BS17A!U1979</f>
        <v>424500</v>
      </c>
      <c r="E281" s="146">
        <f>+[5]BS17A!$V1979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+[5]BS17A!$D1980</f>
        <v>0</v>
      </c>
      <c r="D282" s="40">
        <f>[5]BS17A!U1980</f>
        <v>265260</v>
      </c>
      <c r="E282" s="153">
        <f>+[5]BS17A!$V1980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+[5]BS17A!$D1981</f>
        <v>103</v>
      </c>
      <c r="D283" s="207">
        <f>[5]BS17A!U1981</f>
        <v>36070</v>
      </c>
      <c r="E283" s="192">
        <f>+[5]BS17A!$V1981</f>
        <v>3715210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103</v>
      </c>
      <c r="D284" s="151"/>
      <c r="E284" s="152">
        <f>SUM(E244:E283)</f>
        <v>3715210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8"/>
    </row>
    <row r="288" spans="1:10" ht="44.25" customHeight="1" x14ac:dyDescent="0.2">
      <c r="A288" s="11" t="s">
        <v>8</v>
      </c>
      <c r="B288" s="11" t="s">
        <v>426</v>
      </c>
      <c r="C288" s="242" t="s">
        <v>347</v>
      </c>
      <c r="D288" s="13" t="s">
        <v>11</v>
      </c>
      <c r="E288" s="244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+[5]BS17A!$D1983</f>
        <v>3</v>
      </c>
      <c r="D289" s="37">
        <f>+[5]BS17A!$U1983</f>
        <v>7100</v>
      </c>
      <c r="E289" s="145">
        <f>+[5]BS17A!$V1983</f>
        <v>21300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+[5]BS17A!$D1984</f>
        <v>0</v>
      </c>
      <c r="D290" s="24">
        <f>+[5]BS17A!$U1984</f>
        <v>3780</v>
      </c>
      <c r="E290" s="146">
        <f>+[5]BS17A!$V1984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+[5]BS17A!$D1985</f>
        <v>1</v>
      </c>
      <c r="D291" s="24">
        <f>+[5]BS17A!$U1985</f>
        <v>14240</v>
      </c>
      <c r="E291" s="146">
        <f>+[5]BS17A!$V1985</f>
        <v>14240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+[5]BS17A!$D1986</f>
        <v>0</v>
      </c>
      <c r="D292" s="24">
        <f>+[5]BS17A!$U1986</f>
        <v>146040</v>
      </c>
      <c r="E292" s="146">
        <f>+[5]BS17A!$V1986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+[5]BS17A!$D1987</f>
        <v>0</v>
      </c>
      <c r="D293" s="40">
        <f>+[5]BS17A!$U1987</f>
        <v>802130</v>
      </c>
      <c r="E293" s="153">
        <f>+[5]BS17A!$V1987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4</v>
      </c>
      <c r="D294" s="57"/>
      <c r="E294" s="107">
        <f>SUM(E289:E293)</f>
        <v>35540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56" t="s">
        <v>438</v>
      </c>
      <c r="B297" s="757"/>
      <c r="C297" s="757"/>
      <c r="D297" s="757"/>
      <c r="E297" s="758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244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+[5]BS17A!$D1863</f>
        <v>195</v>
      </c>
      <c r="D299" s="37">
        <f>+[5]BS17A!$U1863</f>
        <v>18980</v>
      </c>
      <c r="E299" s="145">
        <f>+[5]BS17A!$V1863</f>
        <v>3701100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+[5]BS17A!$D1864</f>
        <v>164</v>
      </c>
      <c r="D300" s="24">
        <f>+[5]BS17A!$U1864</f>
        <v>59710</v>
      </c>
      <c r="E300" s="146">
        <f>+[5]BS17A!$V1864</f>
        <v>9792440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+[5]BS17A!$D1865</f>
        <v>0</v>
      </c>
      <c r="D301" s="24">
        <f>+[5]BS17A!$U1865</f>
        <v>74020</v>
      </c>
      <c r="E301" s="146">
        <f>+[5]BS17A!$V1865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+[5]BS17A!$D1866</f>
        <v>139</v>
      </c>
      <c r="D302" s="24">
        <f>+[5]BS17A!$U1866</f>
        <v>2600</v>
      </c>
      <c r="E302" s="146">
        <f>+[5]BS17A!$V1866</f>
        <v>361400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+[5]BS17A!$D1867</f>
        <v>0</v>
      </c>
      <c r="D303" s="24">
        <f>+[5]BS17A!$U1867</f>
        <v>70</v>
      </c>
      <c r="E303" s="146">
        <f>+[5]BS17A!$V1867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+[5]BS17A!$D1868</f>
        <v>0</v>
      </c>
      <c r="D304" s="24">
        <f>+[5]BS17A!$U1868</f>
        <v>157140</v>
      </c>
      <c r="E304" s="146">
        <f>+[5]BS17A!$V1868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+[5]BS17A!$D1869</f>
        <v>0</v>
      </c>
      <c r="D305" s="40">
        <f>+[5]BS17A!$U1869</f>
        <v>10680</v>
      </c>
      <c r="E305" s="153">
        <f>+[5]BS17A!$V1869</f>
        <v>0</v>
      </c>
      <c r="F305" s="8"/>
    </row>
    <row r="306" spans="1:7" ht="15" customHeight="1" x14ac:dyDescent="0.2">
      <c r="A306" s="96"/>
      <c r="B306" s="771" t="s">
        <v>454</v>
      </c>
      <c r="C306" s="772"/>
      <c r="D306" s="191"/>
      <c r="E306" s="220">
        <f>SUM(E299:E305)</f>
        <v>13854940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45" t="s">
        <v>455</v>
      </c>
      <c r="B309" s="746"/>
      <c r="C309" s="746"/>
      <c r="D309" s="746"/>
      <c r="E309" s="747"/>
      <c r="F309" s="178"/>
      <c r="G309" s="185"/>
    </row>
    <row r="310" spans="1:7" ht="12.75" x14ac:dyDescent="0.2">
      <c r="A310" s="221"/>
      <c r="B310" s="768" t="s">
        <v>456</v>
      </c>
      <c r="C310" s="769"/>
      <c r="D310" s="770"/>
      <c r="E310" s="222">
        <f>+E235+E240+E284+E294+E306</f>
        <v>31591920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45" t="s">
        <v>457</v>
      </c>
      <c r="B313" s="746"/>
      <c r="C313" s="746"/>
      <c r="D313" s="746"/>
      <c r="E313" s="747"/>
      <c r="F313" s="178"/>
      <c r="G313" s="185"/>
    </row>
    <row r="314" spans="1:7" ht="25.5" x14ac:dyDescent="0.2">
      <c r="A314" s="756" t="s">
        <v>458</v>
      </c>
      <c r="B314" s="757"/>
      <c r="C314" s="757"/>
      <c r="D314" s="758"/>
      <c r="E314" s="11" t="s">
        <v>12</v>
      </c>
      <c r="F314" s="178"/>
      <c r="G314" s="185"/>
    </row>
    <row r="315" spans="1:7" ht="15" customHeight="1" x14ac:dyDescent="0.2">
      <c r="A315" s="221"/>
      <c r="B315" s="768" t="s">
        <v>459</v>
      </c>
      <c r="C315" s="769"/>
      <c r="D315" s="770"/>
      <c r="E315" s="222">
        <f>+E50+E76+E84+F109+E116+C121+E148+E155+E168+E207+E221+C228+E310</f>
        <v>764879115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45" t="s">
        <v>460</v>
      </c>
      <c r="B318" s="746"/>
      <c r="C318" s="747"/>
      <c r="D318" s="8"/>
      <c r="E318" s="8"/>
      <c r="F318" s="5"/>
    </row>
    <row r="319" spans="1:7" ht="18" customHeight="1" x14ac:dyDescent="0.2">
      <c r="A319" s="756" t="s">
        <v>461</v>
      </c>
      <c r="B319" s="757"/>
      <c r="C319" s="758"/>
      <c r="D319" s="8"/>
      <c r="E319" s="8"/>
      <c r="F319" s="5"/>
    </row>
    <row r="320" spans="1:7" ht="30.75" customHeight="1" x14ac:dyDescent="0.2">
      <c r="A320" s="745" t="s">
        <v>462</v>
      </c>
      <c r="B320" s="746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394500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67592780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67987280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74" t="str">
        <f>[5]NOMBRE!B12</f>
        <v xml:space="preserve">SRA. MARIA INES NUÑEZ GONZALEZ </v>
      </c>
      <c r="F338" s="774"/>
    </row>
    <row r="339" spans="1:6" ht="12.75" x14ac:dyDescent="0.2">
      <c r="A339" s="186"/>
      <c r="B339" s="186"/>
      <c r="C339" s="186"/>
      <c r="D339" s="188"/>
      <c r="E339" s="773" t="str">
        <f>[5]NOMBRE!A12</f>
        <v>Jefe de Estadisticas</v>
      </c>
      <c r="F339" s="773"/>
    </row>
    <row r="340" spans="1:6" ht="12.75" x14ac:dyDescent="0.2">
      <c r="A340" s="186"/>
      <c r="B340" s="186"/>
      <c r="C340" s="186"/>
      <c r="D340" s="186"/>
      <c r="E340" s="24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74" t="str">
        <f>[5]NOMBRE!B11</f>
        <v xml:space="preserve">DR. FRANCISCO MARTINEZ CAVALLA </v>
      </c>
      <c r="F347" s="774"/>
    </row>
    <row r="348" spans="1:6" ht="22.5" customHeight="1" x14ac:dyDescent="0.2">
      <c r="A348" s="186"/>
      <c r="B348" s="186"/>
      <c r="C348" s="186"/>
      <c r="D348" s="215"/>
      <c r="E348" s="773" t="str">
        <f>CONCATENATE("Director ",[5]NOMBRE!B1)</f>
        <v xml:space="preserve">Director </v>
      </c>
      <c r="F348" s="773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E348:F348"/>
    <mergeCell ref="A318:C318"/>
    <mergeCell ref="A319:C319"/>
    <mergeCell ref="A320:B320"/>
    <mergeCell ref="E338:F338"/>
    <mergeCell ref="E339:F339"/>
    <mergeCell ref="E347:F347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22" sqref="B22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42" t="s">
        <v>1</v>
      </c>
      <c r="D1" s="743"/>
      <c r="E1" s="744"/>
      <c r="F1" s="3"/>
    </row>
    <row r="2" spans="1:7" ht="12.75" x14ac:dyDescent="0.2">
      <c r="A2" s="1" t="str">
        <f>CONCATENATE("COMUNA: ",[6]NOMBRE!B2," - ","( ",[6]NOMBRE!C2,[6]NOMBRE!D2,[6]NOMBRE!E2,[6]NOMBRE!F2,[6]NOMBRE!G2," )")</f>
        <v>COMUNA: LINARES  - ( 07401 )</v>
      </c>
      <c r="B2" s="2"/>
      <c r="C2" s="739"/>
      <c r="D2" s="740"/>
      <c r="E2" s="741"/>
      <c r="F2" s="5"/>
      <c r="G2" s="6"/>
    </row>
    <row r="3" spans="1:7" ht="12.75" x14ac:dyDescent="0.2">
      <c r="A3" s="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2"/>
      <c r="C3" s="742" t="s">
        <v>2</v>
      </c>
      <c r="D3" s="743"/>
      <c r="E3" s="744"/>
      <c r="F3" s="5"/>
      <c r="G3" s="7"/>
    </row>
    <row r="4" spans="1:7" ht="12.75" x14ac:dyDescent="0.2">
      <c r="A4" s="1" t="str">
        <f>CONCATENATE("MES: ",[6]NOMBRE!B6," - ","( ",[6]NOMBRE!C6,[6]NOMBRE!D6," )")</f>
        <v>MES: MAYO - ( 05 )</v>
      </c>
      <c r="B4" s="2"/>
      <c r="C4" s="739" t="str">
        <f>CONCATENATE([6]NOMBRE!B6," ","( ",[6]NOMBRE!C6,[6]NOMBRE!D6," )")</f>
        <v>MAYO ( 05 )</v>
      </c>
      <c r="D4" s="740"/>
      <c r="E4" s="741"/>
      <c r="F4" s="5"/>
      <c r="G4" s="7"/>
    </row>
    <row r="5" spans="1:7" ht="12.75" x14ac:dyDescent="0.2">
      <c r="A5" s="1" t="str">
        <f>CONCATENATE("AÑO: ",[6]NOMBRE!B7)</f>
        <v>AÑO: 2015</v>
      </c>
      <c r="B5" s="2"/>
      <c r="C5" s="742" t="s">
        <v>3</v>
      </c>
      <c r="D5" s="743"/>
      <c r="E5" s="744"/>
      <c r="F5" s="5"/>
      <c r="G5" s="7"/>
    </row>
    <row r="6" spans="1:7" ht="12.75" x14ac:dyDescent="0.2">
      <c r="A6" s="8"/>
      <c r="B6" s="8"/>
      <c r="C6" s="739">
        <f>[6]NOMBRE!B7</f>
        <v>2015</v>
      </c>
      <c r="D6" s="740"/>
      <c r="E6" s="741"/>
      <c r="F6" s="5"/>
      <c r="G6" s="7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5"/>
      <c r="G7" s="7"/>
    </row>
    <row r="8" spans="1:7" ht="15" x14ac:dyDescent="0.2">
      <c r="A8" s="8"/>
      <c r="B8" s="241" t="s">
        <v>6</v>
      </c>
      <c r="C8" s="739" t="str">
        <f>CONCATENATE([6]NOMBRE!B3," ","( ",[6]NOMBRE!C3,[6]NOMBRE!D3,[6]NOMBRE!E3,[6]NOMBRE!F3,[6]NOMBRE!G3," )")</f>
        <v>HOSPITAL DE LINARES  ( 11610 )</v>
      </c>
      <c r="D8" s="740"/>
      <c r="E8" s="741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53" t="s">
        <v>7</v>
      </c>
      <c r="B11" s="754"/>
      <c r="C11" s="754"/>
      <c r="D11" s="754"/>
      <c r="E11" s="755"/>
      <c r="F11" s="5"/>
    </row>
    <row r="12" spans="1:7" ht="43.5" customHeight="1" x14ac:dyDescent="0.2">
      <c r="A12" s="11" t="s">
        <v>8</v>
      </c>
      <c r="B12" s="11" t="s">
        <v>9</v>
      </c>
      <c r="C12" s="242" t="s">
        <v>10</v>
      </c>
      <c r="D12" s="13" t="s">
        <v>11</v>
      </c>
      <c r="E12" s="244" t="s">
        <v>12</v>
      </c>
      <c r="F12" s="8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8"/>
    </row>
    <row r="14" spans="1:7" ht="15" customHeight="1" x14ac:dyDescent="0.2">
      <c r="A14" s="17" t="s">
        <v>14</v>
      </c>
      <c r="B14" s="18" t="s">
        <v>15</v>
      </c>
      <c r="C14" s="19">
        <f>[6]BS17A!$D13</f>
        <v>0</v>
      </c>
      <c r="D14" s="20">
        <f>[6]BS17A!$U13</f>
        <v>4300</v>
      </c>
      <c r="E14" s="21">
        <f>[6]BS17A!$V13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[6]BS17A!$D14</f>
        <v>0</v>
      </c>
      <c r="D15" s="24">
        <f>[6]BS17A!$U14</f>
        <v>5400</v>
      </c>
      <c r="E15" s="25">
        <f>[6]BS17A!$V14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[6]BS17A!$D15</f>
        <v>6258</v>
      </c>
      <c r="D16" s="24">
        <f>[6]BS17A!$U15</f>
        <v>11590</v>
      </c>
      <c r="E16" s="25">
        <f>[6]BS17A!$V15</f>
        <v>72530220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[6]BS17A!$D16</f>
        <v>0</v>
      </c>
      <c r="D17" s="24">
        <f>[6]BS17A!$U16</f>
        <v>6920</v>
      </c>
      <c r="E17" s="25">
        <f>[6]BS17A!$V16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[6]BS17A!$D17</f>
        <v>0</v>
      </c>
      <c r="D18" s="24">
        <f>[6]BS17A!$U17</f>
        <v>7590</v>
      </c>
      <c r="E18" s="25">
        <f>[6]BS17A!$V17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[6]BS17A!$D20</f>
        <v>0</v>
      </c>
      <c r="D19" s="24">
        <f>[6]BS17A!$U20</f>
        <v>5860</v>
      </c>
      <c r="E19" s="25">
        <f>[6]BS17A!$V20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[6]BS17A!$D21</f>
        <v>0</v>
      </c>
      <c r="D20" s="24">
        <f>[6]BS17A!$U21</f>
        <v>7020</v>
      </c>
      <c r="E20" s="25">
        <f>[6]BS17A!$V21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[6]BS17A!$D22</f>
        <v>0</v>
      </c>
      <c r="D21" s="24">
        <f>[6]BS17A!$U22</f>
        <v>8710</v>
      </c>
      <c r="E21" s="25">
        <f>[6]BS17A!$V22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[6]BS17A!$D23</f>
        <v>1902</v>
      </c>
      <c r="D22" s="24">
        <f>[6]BS17A!$U23</f>
        <v>5860</v>
      </c>
      <c r="E22" s="25">
        <f>[6]BS17A!$V23</f>
        <v>11145720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[6]BS17A!$D24</f>
        <v>1129</v>
      </c>
      <c r="D23" s="24">
        <f>[6]BS17A!$U24</f>
        <v>7020</v>
      </c>
      <c r="E23" s="25">
        <f>[6]BS17A!$V24</f>
        <v>7925580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[6]BS17A!$D25</f>
        <v>2295</v>
      </c>
      <c r="D24" s="24">
        <f>[6]BS17A!$U25</f>
        <v>8710</v>
      </c>
      <c r="E24" s="25">
        <f>[6]BS17A!$V25</f>
        <v>19989450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+[6]BS17A!$D795</f>
        <v>181</v>
      </c>
      <c r="D25" s="24">
        <f>+[6]BS17A!$U795</f>
        <v>7110</v>
      </c>
      <c r="E25" s="25">
        <f>+[6]BS17A!$V795</f>
        <v>1286910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+[6]BS17A!$D800</f>
        <v>0</v>
      </c>
      <c r="D26" s="31">
        <f>+[6]BS17A!$U800</f>
        <v>29440</v>
      </c>
      <c r="E26" s="32">
        <f>+[6]BS17A!$V800</f>
        <v>0</v>
      </c>
      <c r="F26" s="8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8"/>
    </row>
    <row r="28" spans="1:6" ht="15" customHeight="1" x14ac:dyDescent="0.2">
      <c r="A28" s="17" t="s">
        <v>41</v>
      </c>
      <c r="B28" s="18" t="s">
        <v>42</v>
      </c>
      <c r="C28" s="33">
        <f>[6]BS17A!$D27</f>
        <v>1897</v>
      </c>
      <c r="D28" s="20">
        <f>[6]BS17A!$U27</f>
        <v>1140</v>
      </c>
      <c r="E28" s="21">
        <f>[6]BS17A!$V27</f>
        <v>2162580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[6]BS17A!$D28</f>
        <v>0</v>
      </c>
      <c r="D29" s="24">
        <f>[6]BS17A!$U28</f>
        <v>1960</v>
      </c>
      <c r="E29" s="25">
        <f>[6]BS17A!$V28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[6]BS17A!$D29</f>
        <v>0</v>
      </c>
      <c r="D30" s="24">
        <f>[6]BS17A!$U29</f>
        <v>630</v>
      </c>
      <c r="E30" s="25">
        <f>[6]BS17A!$V29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[6]BS17A!$D30</f>
        <v>148</v>
      </c>
      <c r="D31" s="24">
        <f>[6]BS17A!$U30</f>
        <v>1550</v>
      </c>
      <c r="E31" s="25">
        <f>[6]BS17A!$V30</f>
        <v>229400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[6]BS17A!$D31</f>
        <v>1405</v>
      </c>
      <c r="D32" s="24">
        <f>[6]BS17A!$U31</f>
        <v>1250</v>
      </c>
      <c r="E32" s="25">
        <f>[6]BS17A!$V31</f>
        <v>1756250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[6]BS17A!$D32</f>
        <v>0</v>
      </c>
      <c r="D33" s="24">
        <f>[6]BS17A!$U32</f>
        <v>1140</v>
      </c>
      <c r="E33" s="25">
        <f>[6]BS17A!$V32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+[6]BS17A!$D796</f>
        <v>303</v>
      </c>
      <c r="D34" s="24">
        <f>+[6]BS17A!$U796</f>
        <v>2780</v>
      </c>
      <c r="E34" s="25">
        <f>+[6]BS17A!$V796</f>
        <v>842340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+[6]BS17A!$D797</f>
        <v>579</v>
      </c>
      <c r="D35" s="24">
        <f>+[6]BS17A!$U797</f>
        <v>2780</v>
      </c>
      <c r="E35" s="25">
        <f>+[6]BS17A!$V797</f>
        <v>1609620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+[6]BS17A!$D798</f>
        <v>3</v>
      </c>
      <c r="D36" s="24">
        <f>+[6]BS17A!$U798</f>
        <v>11080</v>
      </c>
      <c r="E36" s="25">
        <f>+[6]BS17A!$V798</f>
        <v>33240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+[6]BS17A!$D799</f>
        <v>47</v>
      </c>
      <c r="D37" s="31">
        <f>+[6]BS17A!$U799</f>
        <v>12980</v>
      </c>
      <c r="E37" s="32">
        <f>+[6]BS17A!$V799</f>
        <v>610060</v>
      </c>
      <c r="F37" s="8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8"/>
    </row>
    <row r="39" spans="1:6" ht="15" customHeight="1" x14ac:dyDescent="0.2">
      <c r="A39" s="17" t="s">
        <v>62</v>
      </c>
      <c r="B39" s="36" t="s">
        <v>63</v>
      </c>
      <c r="C39" s="33">
        <f>+[6]BS17A!$D801</f>
        <v>0</v>
      </c>
      <c r="D39" s="37">
        <f>+[6]BS17A!$U801</f>
        <v>3657</v>
      </c>
      <c r="E39" s="38">
        <f>+[6]BS17A!$V801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+[6]BS17A!$D802</f>
        <v>0</v>
      </c>
      <c r="D40" s="40">
        <f>+[6]BS17A!$U802</f>
        <v>9455</v>
      </c>
      <c r="E40" s="41">
        <f>+[6]BS17A!$V802</f>
        <v>0</v>
      </c>
      <c r="F40" s="8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8"/>
    </row>
    <row r="42" spans="1:6" ht="15" customHeight="1" x14ac:dyDescent="0.2">
      <c r="A42" s="17" t="s">
        <v>67</v>
      </c>
      <c r="B42" s="42" t="s">
        <v>68</v>
      </c>
      <c r="C42" s="33">
        <f>+[6]BS17A!$D34</f>
        <v>30</v>
      </c>
      <c r="D42" s="37">
        <f>+[6]BS17A!$U34</f>
        <v>3750</v>
      </c>
      <c r="E42" s="38">
        <f>+[6]BS17A!$V34</f>
        <v>112500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+[6]BS17A!$D35</f>
        <v>243</v>
      </c>
      <c r="D43" s="24">
        <f>+[6]BS17A!$U35</f>
        <v>2060</v>
      </c>
      <c r="E43" s="25">
        <f>+[6]BS17A!$V35</f>
        <v>500580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+[6]BS17A!$D36</f>
        <v>0</v>
      </c>
      <c r="D44" s="24">
        <f>+[6]BS17A!$U36</f>
        <v>2060</v>
      </c>
      <c r="E44" s="25">
        <f>+[6]BS17A!$V36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+[6]BS17A!$D37</f>
        <v>300</v>
      </c>
      <c r="D45" s="40">
        <f>+[6]BS17A!$U37</f>
        <v>630</v>
      </c>
      <c r="E45" s="41">
        <f>+[6]BS17A!$V37</f>
        <v>189000</v>
      </c>
      <c r="F45" s="8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8"/>
    </row>
    <row r="47" spans="1:6" ht="15" customHeight="1" x14ac:dyDescent="0.2">
      <c r="A47" s="17" t="s">
        <v>76</v>
      </c>
      <c r="B47" s="42" t="s">
        <v>77</v>
      </c>
      <c r="C47" s="33">
        <f>+[6]BS17A!$D39</f>
        <v>11</v>
      </c>
      <c r="D47" s="37">
        <f>+[6]BS17A!$U39</f>
        <v>1780</v>
      </c>
      <c r="E47" s="38">
        <f>+[6]BS17A!$V39</f>
        <v>19580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+[6]BS17A!$D40</f>
        <v>22</v>
      </c>
      <c r="D48" s="24">
        <f>+[6]BS17A!$U40</f>
        <v>1780</v>
      </c>
      <c r="E48" s="25">
        <f>+[6]BS17A!$V40</f>
        <v>39160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+[6]BS17A!$D41</f>
        <v>17</v>
      </c>
      <c r="D49" s="40">
        <f>+[6]BS17A!$U41</f>
        <v>1030</v>
      </c>
      <c r="E49" s="41">
        <f>+[6]BS17A!$V41</f>
        <v>17510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16770</v>
      </c>
      <c r="D50" s="46"/>
      <c r="E50" s="47">
        <f>SUM(E14:E49)</f>
        <v>120999700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9" t="s">
        <v>83</v>
      </c>
      <c r="B53" s="760"/>
      <c r="C53" s="760"/>
      <c r="D53" s="760"/>
      <c r="E53" s="761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242" t="s">
        <v>10</v>
      </c>
      <c r="D54" s="53"/>
      <c r="E54" s="244" t="s">
        <v>12</v>
      </c>
      <c r="F54" s="8"/>
    </row>
    <row r="55" spans="1:7" ht="18" customHeight="1" x14ac:dyDescent="0.2">
      <c r="A55" s="245" t="s">
        <v>85</v>
      </c>
      <c r="B55" s="55" t="s">
        <v>86</v>
      </c>
      <c r="C55" s="56">
        <f>+[6]BS17!$D12</f>
        <v>67960</v>
      </c>
      <c r="D55" s="57"/>
      <c r="E55" s="58">
        <f>+E56+E57+E58+E59+E60+E61+E65+E66+E67</f>
        <v>95243330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+[6]BS17!$D13</f>
        <v>26396</v>
      </c>
      <c r="D56" s="61"/>
      <c r="E56" s="62">
        <f>+[6]BS17A!V83</f>
        <v>27775860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+[6]BS17!$D14</f>
        <v>30988</v>
      </c>
      <c r="D57" s="63"/>
      <c r="E57" s="64">
        <f>+[6]BS17A!V174</f>
        <v>38668740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+[6]BS17!$D15</f>
        <v>947</v>
      </c>
      <c r="D58" s="63"/>
      <c r="E58" s="64">
        <f>+[6]BS17A!V243</f>
        <v>3382030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+[6]BS17!$D16</f>
        <v>0</v>
      </c>
      <c r="D59" s="63"/>
      <c r="E59" s="64">
        <f>+[6]BS17A!V289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+[6]BS17!$D17</f>
        <v>1695</v>
      </c>
      <c r="D60" s="67"/>
      <c r="E60" s="68">
        <f>+[6]BS17A!V295</f>
        <v>8227730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+[6]BS17!$D18</f>
        <v>5115</v>
      </c>
      <c r="D61" s="71"/>
      <c r="E61" s="72">
        <f>SUM(E62:E64)</f>
        <v>13475900</v>
      </c>
      <c r="F61" s="8"/>
    </row>
    <row r="62" spans="1:7" ht="15" customHeight="1" x14ac:dyDescent="0.2">
      <c r="A62" s="73"/>
      <c r="B62" s="42" t="s">
        <v>99</v>
      </c>
      <c r="C62" s="33">
        <f>+[6]BS17!$D19</f>
        <v>4169</v>
      </c>
      <c r="D62" s="74"/>
      <c r="E62" s="75">
        <f>+[6]BS17A!V362</f>
        <v>9611540</v>
      </c>
      <c r="F62" s="8"/>
    </row>
    <row r="63" spans="1:7" ht="15" customHeight="1" x14ac:dyDescent="0.2">
      <c r="A63" s="73"/>
      <c r="B63" s="27" t="s">
        <v>100</v>
      </c>
      <c r="C63" s="19">
        <f>+[6]BS17!$D20</f>
        <v>44</v>
      </c>
      <c r="D63" s="63"/>
      <c r="E63" s="64">
        <f>+[6]BS17A!V405</f>
        <v>121590</v>
      </c>
      <c r="F63" s="8"/>
    </row>
    <row r="64" spans="1:7" ht="15" customHeight="1" x14ac:dyDescent="0.2">
      <c r="A64" s="76"/>
      <c r="B64" s="43" t="s">
        <v>101</v>
      </c>
      <c r="C64" s="30">
        <f>+[6]BS17!$D21</f>
        <v>902</v>
      </c>
      <c r="D64" s="77"/>
      <c r="E64" s="78">
        <f>+[6]BS17A!V428</f>
        <v>3742770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+[6]BS17!$D22</f>
        <v>8</v>
      </c>
      <c r="D65" s="61"/>
      <c r="E65" s="62">
        <f>+[6]BS17A!V446</f>
        <v>84480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+[6]BS17!$D23</f>
        <v>62</v>
      </c>
      <c r="D66" s="63"/>
      <c r="E66" s="64">
        <f>+[6]BS17A!V456</f>
        <v>124300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+[6]BS17!$D24</f>
        <v>2749</v>
      </c>
      <c r="D67" s="67"/>
      <c r="E67" s="68">
        <f>+[6]BS17A!V500</f>
        <v>3504290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+[6]BS17!$D25</f>
        <v>4550</v>
      </c>
      <c r="D68" s="83"/>
      <c r="E68" s="84">
        <f>SUM(E69:E74)</f>
        <v>79455740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+[6]BS17!$D26</f>
        <v>2798</v>
      </c>
      <c r="D69" s="63"/>
      <c r="E69" s="64">
        <f>+[6]BS17A!V535</f>
        <v>22984950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+[6]BS17!$D27</f>
        <v>6</v>
      </c>
      <c r="D70" s="63"/>
      <c r="E70" s="64">
        <f>+[6]BS17A!V590</f>
        <v>102070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+[6]BS17!$D28</f>
        <v>841</v>
      </c>
      <c r="D71" s="63"/>
      <c r="E71" s="64">
        <f>+[6]BS17A!V615</f>
        <v>44135580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+[6]BS17!$D30+[6]BS17!$D32</f>
        <v>752</v>
      </c>
      <c r="D72" s="63"/>
      <c r="E72" s="64">
        <f>+[6]BS17A!V633-[6]BS17A!V634</f>
        <v>11431420</v>
      </c>
      <c r="F72" s="8"/>
    </row>
    <row r="73" spans="1:7" ht="15" customHeight="1" x14ac:dyDescent="0.2">
      <c r="A73" s="85"/>
      <c r="B73" s="27" t="s">
        <v>118</v>
      </c>
      <c r="C73" s="19">
        <f>+[6]BS17!$D31</f>
        <v>153</v>
      </c>
      <c r="D73" s="63"/>
      <c r="E73" s="64">
        <f>+[6]BS17A!V634</f>
        <v>801720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+[6]BS17!$D33</f>
        <v>0</v>
      </c>
      <c r="D74" s="89"/>
      <c r="E74" s="90">
        <f>+[6]BS17A!V654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+[6]BS17!$D34</f>
        <v>0</v>
      </c>
      <c r="D75" s="94"/>
      <c r="E75" s="95">
        <f>+[6]BS17A!V783</f>
        <v>0</v>
      </c>
      <c r="F75" s="8"/>
    </row>
    <row r="76" spans="1:7" ht="15" customHeight="1" x14ac:dyDescent="0.2">
      <c r="A76" s="96"/>
      <c r="B76" s="246" t="s">
        <v>123</v>
      </c>
      <c r="C76" s="56">
        <f>+C55+C68+C75</f>
        <v>72510</v>
      </c>
      <c r="D76" s="57"/>
      <c r="E76" s="98">
        <f>+E55+E68+E75</f>
        <v>174699070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53" t="s">
        <v>124</v>
      </c>
      <c r="B79" s="754"/>
      <c r="C79" s="754"/>
      <c r="D79" s="754"/>
      <c r="E79" s="755"/>
      <c r="F79" s="51"/>
      <c r="G79" s="52"/>
    </row>
    <row r="80" spans="1:7" ht="45" customHeight="1" x14ac:dyDescent="0.2">
      <c r="A80" s="11" t="s">
        <v>8</v>
      </c>
      <c r="B80" s="243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+[6]BS17!D49</f>
        <v>0</v>
      </c>
      <c r="D81" s="61"/>
      <c r="E81" s="103">
        <f>+SUM([6]BS17A!V673+[6]BS17A!V719)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+[6]BS17!E130</f>
        <v>1176</v>
      </c>
      <c r="D82" s="63"/>
      <c r="E82" s="105">
        <f>+[6]BS17A!V1574</f>
        <v>11021340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+[6]BS17A!D1849</f>
        <v>42</v>
      </c>
      <c r="D83" s="67"/>
      <c r="E83" s="106">
        <f>+[6]BS17A!V1849</f>
        <v>2520870</v>
      </c>
      <c r="F83" s="8"/>
    </row>
    <row r="84" spans="1:6" ht="17.25" customHeight="1" x14ac:dyDescent="0.2">
      <c r="A84" s="96"/>
      <c r="B84" s="246" t="s">
        <v>130</v>
      </c>
      <c r="C84" s="56">
        <f>+SUM(C81:C83)</f>
        <v>1218</v>
      </c>
      <c r="D84" s="57"/>
      <c r="E84" s="107">
        <f>SUM(E81:E83)</f>
        <v>13542210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243" t="s">
        <v>132</v>
      </c>
      <c r="D89" s="108" t="s">
        <v>133</v>
      </c>
      <c r="E89" s="13" t="s">
        <v>134</v>
      </c>
      <c r="F89" s="24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+[6]BS17!F68</f>
        <v>1</v>
      </c>
      <c r="D90" s="110">
        <f>+[6]BS17!G68</f>
        <v>0</v>
      </c>
      <c r="E90" s="111">
        <f>+[6]BS17!H68</f>
        <v>0</v>
      </c>
      <c r="F90" s="112">
        <f>[6]BS17A!V811</f>
        <v>153900</v>
      </c>
    </row>
    <row r="91" spans="1:6" ht="15" customHeight="1" x14ac:dyDescent="0.2">
      <c r="A91" s="22" t="s">
        <v>137</v>
      </c>
      <c r="B91" s="27" t="s">
        <v>138</v>
      </c>
      <c r="C91" s="113">
        <f>+[6]BS17!F69</f>
        <v>186</v>
      </c>
      <c r="D91" s="114">
        <f>+[6]BS17!G69</f>
        <v>2</v>
      </c>
      <c r="E91" s="115">
        <f>+[6]BS17!H69</f>
        <v>0</v>
      </c>
      <c r="F91" s="116">
        <f>[6]BS17A!V882</f>
        <v>68808795</v>
      </c>
    </row>
    <row r="92" spans="1:6" ht="15" customHeight="1" x14ac:dyDescent="0.2">
      <c r="A92" s="22" t="s">
        <v>139</v>
      </c>
      <c r="B92" s="27" t="s">
        <v>140</v>
      </c>
      <c r="C92" s="113">
        <f>+[6]BS17!F70</f>
        <v>15</v>
      </c>
      <c r="D92" s="114">
        <f>+[6]BS17!G70</f>
        <v>2</v>
      </c>
      <c r="E92" s="115">
        <f>+[6]BS17!H70</f>
        <v>0</v>
      </c>
      <c r="F92" s="116">
        <f>[6]BS17A!V961</f>
        <v>1702755</v>
      </c>
    </row>
    <row r="93" spans="1:6" ht="15" customHeight="1" x14ac:dyDescent="0.2">
      <c r="A93" s="22" t="s">
        <v>141</v>
      </c>
      <c r="B93" s="27" t="s">
        <v>142</v>
      </c>
      <c r="C93" s="113">
        <f>+[6]BS17!F71</f>
        <v>4</v>
      </c>
      <c r="D93" s="114">
        <f>+[6]BS17!G71</f>
        <v>0</v>
      </c>
      <c r="E93" s="115">
        <f>+[6]BS17!H71</f>
        <v>0</v>
      </c>
      <c r="F93" s="116">
        <f>[6]BS17A!V1037</f>
        <v>369060</v>
      </c>
    </row>
    <row r="94" spans="1:6" ht="15" customHeight="1" x14ac:dyDescent="0.2">
      <c r="A94" s="22" t="s">
        <v>143</v>
      </c>
      <c r="B94" s="27" t="s">
        <v>144</v>
      </c>
      <c r="C94" s="113">
        <f>+[6]BS17!F72</f>
        <v>61</v>
      </c>
      <c r="D94" s="114">
        <f>+[6]BS17!G72</f>
        <v>1</v>
      </c>
      <c r="E94" s="115">
        <f>+[6]BS17!H72</f>
        <v>0</v>
      </c>
      <c r="F94" s="116">
        <f>[6]BS17A!V1098</f>
        <v>2993460</v>
      </c>
    </row>
    <row r="95" spans="1:6" ht="15" customHeight="1" x14ac:dyDescent="0.2">
      <c r="A95" s="22" t="s">
        <v>145</v>
      </c>
      <c r="B95" s="27" t="s">
        <v>146</v>
      </c>
      <c r="C95" s="113">
        <f>+[6]BS17!F73</f>
        <v>102</v>
      </c>
      <c r="D95" s="114">
        <f>+[6]BS17!G73</f>
        <v>0</v>
      </c>
      <c r="E95" s="115">
        <f>+[6]BS17!H73</f>
        <v>0</v>
      </c>
      <c r="F95" s="116">
        <f>[6]BS17A!V1166</f>
        <v>2023760</v>
      </c>
    </row>
    <row r="96" spans="1:6" ht="15" customHeight="1" x14ac:dyDescent="0.2">
      <c r="A96" s="22" t="s">
        <v>147</v>
      </c>
      <c r="B96" s="27" t="s">
        <v>148</v>
      </c>
      <c r="C96" s="113">
        <f>+[6]BS17!F74</f>
        <v>1</v>
      </c>
      <c r="D96" s="114">
        <f>+[6]BS17!G74</f>
        <v>0</v>
      </c>
      <c r="E96" s="115">
        <f>+[6]BS17!H74</f>
        <v>0</v>
      </c>
      <c r="F96" s="116">
        <f>[6]BS17A!V1221</f>
        <v>142190</v>
      </c>
    </row>
    <row r="97" spans="1:6" ht="15" customHeight="1" x14ac:dyDescent="0.2">
      <c r="A97" s="22" t="s">
        <v>149</v>
      </c>
      <c r="B97" s="27" t="s">
        <v>150</v>
      </c>
      <c r="C97" s="113">
        <f>+[6]BS17!F75</f>
        <v>5</v>
      </c>
      <c r="D97" s="114">
        <f>+[6]BS17!G75</f>
        <v>1</v>
      </c>
      <c r="E97" s="115">
        <f>+[6]BS17!H75</f>
        <v>0</v>
      </c>
      <c r="F97" s="116">
        <f>[6]BS17A!V1287</f>
        <v>359785</v>
      </c>
    </row>
    <row r="98" spans="1:6" ht="15" customHeight="1" x14ac:dyDescent="0.2">
      <c r="A98" s="22" t="s">
        <v>151</v>
      </c>
      <c r="B98" s="27" t="s">
        <v>152</v>
      </c>
      <c r="C98" s="113">
        <f>+[6]BS17!F76</f>
        <v>138</v>
      </c>
      <c r="D98" s="114">
        <f>+[6]BS17!G76</f>
        <v>15</v>
      </c>
      <c r="E98" s="115">
        <f>+[6]BS17!H76</f>
        <v>0</v>
      </c>
      <c r="F98" s="116">
        <f>[6]BS17A!V1357</f>
        <v>32474210</v>
      </c>
    </row>
    <row r="99" spans="1:6" ht="15" customHeight="1" x14ac:dyDescent="0.2">
      <c r="A99" s="22" t="s">
        <v>153</v>
      </c>
      <c r="B99" s="27" t="s">
        <v>154</v>
      </c>
      <c r="C99" s="113">
        <f>+[6]BS17!F77</f>
        <v>11</v>
      </c>
      <c r="D99" s="114">
        <f>+[6]BS17!G77</f>
        <v>0</v>
      </c>
      <c r="E99" s="115">
        <f>+[6]BS17!H77</f>
        <v>0</v>
      </c>
      <c r="F99" s="116">
        <f>[6]BS17A!V1441</f>
        <v>857970</v>
      </c>
    </row>
    <row r="100" spans="1:6" ht="15" customHeight="1" x14ac:dyDescent="0.2">
      <c r="A100" s="22" t="s">
        <v>155</v>
      </c>
      <c r="B100" s="27" t="s">
        <v>156</v>
      </c>
      <c r="C100" s="113">
        <f>+[6]BS17!F78</f>
        <v>37</v>
      </c>
      <c r="D100" s="114">
        <f>+[6]BS17!G78</f>
        <v>0</v>
      </c>
      <c r="E100" s="115">
        <f>+[6]BS17!H78</f>
        <v>0</v>
      </c>
      <c r="F100" s="116">
        <f>[6]BS17A!V1489</f>
        <v>7299760</v>
      </c>
    </row>
    <row r="101" spans="1:6" ht="15" customHeight="1" x14ac:dyDescent="0.2">
      <c r="A101" s="22" t="s">
        <v>157</v>
      </c>
      <c r="B101" s="27" t="s">
        <v>158</v>
      </c>
      <c r="C101" s="113">
        <f>+[6]BS17!F79</f>
        <v>8</v>
      </c>
      <c r="D101" s="114">
        <f>+[6]BS17!G79</f>
        <v>0</v>
      </c>
      <c r="E101" s="115">
        <f>+[6]BS17!H79</f>
        <v>0</v>
      </c>
      <c r="F101" s="116">
        <f>[6]BS17A!V1592</f>
        <v>2099740</v>
      </c>
    </row>
    <row r="102" spans="1:6" ht="15" customHeight="1" x14ac:dyDescent="0.2">
      <c r="A102" s="65" t="s">
        <v>159</v>
      </c>
      <c r="B102" s="29" t="s">
        <v>160</v>
      </c>
      <c r="C102" s="117">
        <f>+[6]BS17!F80</f>
        <v>36</v>
      </c>
      <c r="D102" s="118">
        <f>+[6]BS17!G80</f>
        <v>3</v>
      </c>
      <c r="E102" s="119">
        <f>+[6]BS17!H80</f>
        <v>0</v>
      </c>
      <c r="F102" s="120">
        <f>[6]BS17A!V1597</f>
        <v>7955380</v>
      </c>
    </row>
    <row r="103" spans="1:6" ht="15" customHeight="1" x14ac:dyDescent="0.2">
      <c r="A103" s="17" t="s">
        <v>161</v>
      </c>
      <c r="B103" s="36" t="s">
        <v>162</v>
      </c>
      <c r="C103" s="109">
        <f>+[6]BS17!F81</f>
        <v>74</v>
      </c>
      <c r="D103" s="110">
        <f>+[6]BS17!G81</f>
        <v>0</v>
      </c>
      <c r="E103" s="111">
        <f>+[6]BS17!H81</f>
        <v>0</v>
      </c>
      <c r="F103" s="112">
        <f>+[6]BS17A!V1631</f>
        <v>8693630</v>
      </c>
    </row>
    <row r="104" spans="1:6" ht="15" customHeight="1" x14ac:dyDescent="0.2">
      <c r="A104" s="22"/>
      <c r="B104" s="27" t="s">
        <v>163</v>
      </c>
      <c r="C104" s="113">
        <f>+[6]BS17A!D1635</f>
        <v>0</v>
      </c>
      <c r="D104" s="114">
        <f>+[6]BS17A!F1635</f>
        <v>0</v>
      </c>
      <c r="E104" s="115">
        <f>+[6]BS17A!G1635</f>
        <v>0</v>
      </c>
      <c r="F104" s="116">
        <f>+[6]BS17A!V1635</f>
        <v>0</v>
      </c>
    </row>
    <row r="105" spans="1:6" ht="15" customHeight="1" x14ac:dyDescent="0.2">
      <c r="A105" s="22"/>
      <c r="B105" s="27" t="s">
        <v>164</v>
      </c>
      <c r="C105" s="113">
        <f>+[6]BS17A!D1634</f>
        <v>39</v>
      </c>
      <c r="D105" s="114">
        <f>+[6]BS17A!F1634</f>
        <v>0</v>
      </c>
      <c r="E105" s="115">
        <f>+[6]BS17A!G1634</f>
        <v>0</v>
      </c>
      <c r="F105" s="116">
        <f>+[6]BS17A!V1634</f>
        <v>5179980</v>
      </c>
    </row>
    <row r="106" spans="1:6" ht="15" customHeight="1" x14ac:dyDescent="0.2">
      <c r="A106" s="28"/>
      <c r="B106" s="39" t="s">
        <v>165</v>
      </c>
      <c r="C106" s="121">
        <f>+[6]BS17A!D1632+[6]BS17A!D1633</f>
        <v>35</v>
      </c>
      <c r="D106" s="122">
        <f>+[6]BS17A!F1632+[6]BS17A!F1633</f>
        <v>0</v>
      </c>
      <c r="E106" s="123">
        <f>+[6]BS17A!G1632+[6]BS17A!G1633</f>
        <v>0</v>
      </c>
      <c r="F106" s="124">
        <f>+[6]BS17A!V1632+[6]BS17A!V1633</f>
        <v>3513650</v>
      </c>
    </row>
    <row r="107" spans="1:6" ht="15" customHeight="1" x14ac:dyDescent="0.2">
      <c r="A107" s="59" t="s">
        <v>166</v>
      </c>
      <c r="B107" s="79" t="s">
        <v>167</v>
      </c>
      <c r="C107" s="125">
        <f>+[6]BS17!F82</f>
        <v>40</v>
      </c>
      <c r="D107" s="126">
        <f>+[6]BS17!G82</f>
        <v>2</v>
      </c>
      <c r="E107" s="127">
        <f>+[6]BS17!H82</f>
        <v>0</v>
      </c>
      <c r="F107" s="128">
        <f>+[6]BS17A!V1639</f>
        <v>8702990</v>
      </c>
    </row>
    <row r="108" spans="1:6" ht="15" customHeight="1" x14ac:dyDescent="0.2">
      <c r="A108" s="129">
        <v>2106</v>
      </c>
      <c r="B108" s="39" t="s">
        <v>168</v>
      </c>
      <c r="C108" s="121">
        <f>[6]BS17A!D1845</f>
        <v>11</v>
      </c>
      <c r="D108" s="122">
        <f>[6]BS17A!F1845</f>
        <v>0</v>
      </c>
      <c r="E108" s="123">
        <f>[6]BS17A!G1845</f>
        <v>0</v>
      </c>
      <c r="F108" s="124">
        <f>+[6]BS17A!V1845</f>
        <v>832490</v>
      </c>
    </row>
    <row r="109" spans="1:6" ht="15" customHeight="1" x14ac:dyDescent="0.2">
      <c r="A109" s="130"/>
      <c r="B109" s="131" t="s">
        <v>169</v>
      </c>
      <c r="C109" s="132">
        <f>SUM(C90:C108)-C103</f>
        <v>730</v>
      </c>
      <c r="D109" s="133">
        <f>SUM(D90:D108)-D103</f>
        <v>26</v>
      </c>
      <c r="E109" s="134">
        <f>+SUM(E90:E103)+E107+E108</f>
        <v>0</v>
      </c>
      <c r="F109" s="135">
        <f>+SUM(F90:F103)+F107+F108</f>
        <v>145469875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53" t="s">
        <v>170</v>
      </c>
      <c r="B112" s="754"/>
      <c r="C112" s="754"/>
      <c r="D112" s="754"/>
      <c r="E112" s="755"/>
      <c r="F112" s="5"/>
    </row>
    <row r="113" spans="1:6" ht="49.5" customHeight="1" x14ac:dyDescent="0.2">
      <c r="A113" s="11" t="s">
        <v>8</v>
      </c>
      <c r="B113" s="11" t="s">
        <v>9</v>
      </c>
      <c r="C113" s="242" t="s">
        <v>10</v>
      </c>
      <c r="D113" s="13" t="s">
        <v>11</v>
      </c>
      <c r="E113" s="24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+[6]BS17A!D1636</f>
        <v>93</v>
      </c>
      <c r="D114" s="136">
        <f>+[6]BS17A!U1636</f>
        <v>132810</v>
      </c>
      <c r="E114" s="137">
        <f>+[6]BS17A!V1636</f>
        <v>12351330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+[6]BS17A!D1637</f>
        <v>4</v>
      </c>
      <c r="D115" s="139">
        <f>+[6]BS17A!U1637</f>
        <v>139740</v>
      </c>
      <c r="E115" s="106">
        <f>+[6]BS17A!V1637</f>
        <v>558960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97</v>
      </c>
      <c r="D116" s="57"/>
      <c r="E116" s="107">
        <f>SUM(E114:E115)</f>
        <v>12910290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64" t="s">
        <v>176</v>
      </c>
      <c r="B119" s="764"/>
      <c r="C119" s="764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+[6]BS17A!V1871+[6]BS17A!V1889+[6]BS17A!V1914</f>
        <v>12848000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53" t="s">
        <v>179</v>
      </c>
      <c r="B124" s="754"/>
      <c r="C124" s="754"/>
      <c r="D124" s="754"/>
      <c r="E124" s="755"/>
      <c r="F124" s="5"/>
    </row>
    <row r="125" spans="1:6" ht="45.75" customHeight="1" x14ac:dyDescent="0.2">
      <c r="A125" s="11" t="s">
        <v>8</v>
      </c>
      <c r="B125" s="11" t="s">
        <v>9</v>
      </c>
      <c r="C125" s="242" t="s">
        <v>10</v>
      </c>
      <c r="D125" s="13" t="s">
        <v>11</v>
      </c>
      <c r="E125" s="24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+[6]BS17A!$D59</f>
        <v>5029</v>
      </c>
      <c r="D126" s="37">
        <f>+[6]BS17A!$U59</f>
        <v>34010</v>
      </c>
      <c r="E126" s="145">
        <f>+[6]BS17A!$V59</f>
        <v>171036290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+[6]BS17A!$D60</f>
        <v>0</v>
      </c>
      <c r="D127" s="24">
        <f>+[6]BS17A!$U60</f>
        <v>31310</v>
      </c>
      <c r="E127" s="146">
        <f>+[6]BS17A!$V60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+[6]BS17A!$D61</f>
        <v>0</v>
      </c>
      <c r="D128" s="24">
        <f>+[6]BS17A!$U61</f>
        <v>26100</v>
      </c>
      <c r="E128" s="146">
        <f>+[6]BS17A!$V61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SUM([6]BS17A!D62:D64)</f>
        <v>260</v>
      </c>
      <c r="D129" s="24">
        <f>+[6]BS17A!$U62</f>
        <v>141410</v>
      </c>
      <c r="E129" s="146">
        <f>SUM([6]BS17A!V62:V64)</f>
        <v>36766600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SUM([6]BS17A!D65:D67)</f>
        <v>282</v>
      </c>
      <c r="D130" s="24">
        <f>+[6]BS17A!$U65</f>
        <v>68290</v>
      </c>
      <c r="E130" s="146">
        <f>SUM([6]BS17A!V65:V67)</f>
        <v>19257780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+[6]BS17A!D68</f>
        <v>168</v>
      </c>
      <c r="D131" s="24">
        <f>+[6]BS17A!$U68</f>
        <v>61270</v>
      </c>
      <c r="E131" s="146">
        <f>+[6]BS17A!$V68</f>
        <v>10293360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+[6]BS17A!$D69</f>
        <v>0</v>
      </c>
      <c r="D132" s="24">
        <f>+[6]BS17A!$U69</f>
        <v>17390</v>
      </c>
      <c r="E132" s="146">
        <f>+[6]BS17A!$V69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+[6]BS17A!$D70</f>
        <v>0</v>
      </c>
      <c r="D133" s="24">
        <f>+[6]BS17A!$U70</f>
        <v>27240</v>
      </c>
      <c r="E133" s="146">
        <f>+[6]BS17A!$V70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+[6]BS17A!$D73</f>
        <v>0</v>
      </c>
      <c r="D134" s="24">
        <f>+[6]BS17A!$U73</f>
        <v>27470</v>
      </c>
      <c r="E134" s="146">
        <f>+[6]BS17A!$V73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+[6]BS17A!$D71</f>
        <v>0</v>
      </c>
      <c r="D135" s="24">
        <f>+[6]BS17A!$U71</f>
        <v>28360</v>
      </c>
      <c r="E135" s="146">
        <f>+[6]BS17A!$V71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+[6]BS17A!$D76</f>
        <v>0</v>
      </c>
      <c r="D136" s="24">
        <f>+[6]BS17A!$U76</f>
        <v>34010</v>
      </c>
      <c r="E136" s="146">
        <f>+[6]BS17A!$V76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+[6]BS17A!$D79</f>
        <v>33</v>
      </c>
      <c r="D137" s="24">
        <f>+[6]BS17A!$U79</f>
        <v>6600</v>
      </c>
      <c r="E137" s="146">
        <f>+[6]BS17A!$V79</f>
        <v>217800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+[6]BS17A!$D80</f>
        <v>0</v>
      </c>
      <c r="D138" s="24">
        <f>+[6]BS17A!$U80</f>
        <v>47670</v>
      </c>
      <c r="E138" s="146">
        <f>+[6]BS17A!$V80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5772</v>
      </c>
      <c r="D139" s="149"/>
      <c r="E139" s="150">
        <f>SUM(E126:E138)</f>
        <v>237571830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+[6]BS17A!$D72</f>
        <v>0</v>
      </c>
      <c r="D141" s="24">
        <f>+[6]BS17A!$U72</f>
        <v>11430</v>
      </c>
      <c r="E141" s="146">
        <f>+[6]BS17A!$V72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+[6]BS17A!$D74</f>
        <v>0</v>
      </c>
      <c r="D142" s="24">
        <f>+[6]BS17A!$U74</f>
        <v>11430</v>
      </c>
      <c r="E142" s="146">
        <f>+[6]BS17A!$V74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+[6]BS17A!$D75</f>
        <v>2</v>
      </c>
      <c r="D143" s="24">
        <f>+[6]BS17A!$U75</f>
        <v>5040</v>
      </c>
      <c r="E143" s="146">
        <f>+[6]BS17A!$V75</f>
        <v>10080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+[6]BS17A!$D77</f>
        <v>0</v>
      </c>
      <c r="D144" s="24">
        <f>+[6]BS17A!$U77</f>
        <v>91950</v>
      </c>
      <c r="E144" s="146">
        <f>+[6]BS17A!$V77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+[6]BS17A!$D78</f>
        <v>0</v>
      </c>
      <c r="D145" s="24">
        <f>+[6]BS17A!$U78</f>
        <v>10860</v>
      </c>
      <c r="E145" s="146">
        <f>+[6]BS17A!$V78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+[6]BS17A!$D81</f>
        <v>0</v>
      </c>
      <c r="D146" s="24">
        <f>+[6]BS17A!$U81</f>
        <v>8360</v>
      </c>
      <c r="E146" s="146">
        <f>+[6]BS17A!$V81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2</v>
      </c>
      <c r="D147" s="149"/>
      <c r="E147" s="150">
        <f>SUM(E141:E146)</f>
        <v>10080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5774</v>
      </c>
      <c r="D148" s="151"/>
      <c r="E148" s="152">
        <f>+E139+E147</f>
        <v>237581910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45" t="s">
        <v>222</v>
      </c>
      <c r="B151" s="746"/>
      <c r="C151" s="746"/>
      <c r="D151" s="746"/>
      <c r="E151" s="747"/>
      <c r="F151" s="5"/>
    </row>
    <row r="152" spans="1:6" ht="47.25" customHeight="1" x14ac:dyDescent="0.2">
      <c r="A152" s="11" t="s">
        <v>8</v>
      </c>
      <c r="B152" s="11" t="s">
        <v>9</v>
      </c>
      <c r="C152" s="242" t="s">
        <v>10</v>
      </c>
      <c r="D152" s="13" t="s">
        <v>11</v>
      </c>
      <c r="E152" s="24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+[6]BS17A!D43</f>
        <v>266</v>
      </c>
      <c r="D153" s="37">
        <f>[6]BS17A!U43</f>
        <v>780</v>
      </c>
      <c r="E153" s="145">
        <f>+[6]BS17A!V43</f>
        <v>207480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+[6]BS17A!D44+[6]BS17A!D45</f>
        <v>0</v>
      </c>
      <c r="D154" s="40">
        <f>[6]BS17A!U44</f>
        <v>100</v>
      </c>
      <c r="E154" s="153">
        <f>+[6]BS17A!V44+[6]BS17A!V45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266</v>
      </c>
      <c r="D155" s="151"/>
      <c r="E155" s="152">
        <f>SUM(E153:E154)</f>
        <v>207480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5"/>
    </row>
    <row r="159" spans="1:6" ht="47.25" customHeight="1" x14ac:dyDescent="0.2">
      <c r="A159" s="11" t="s">
        <v>8</v>
      </c>
      <c r="B159" s="11" t="s">
        <v>9</v>
      </c>
      <c r="C159" s="242" t="s">
        <v>10</v>
      </c>
      <c r="D159" s="13" t="s">
        <v>11</v>
      </c>
      <c r="E159" s="24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+[6]BS17A!$D1481</f>
        <v>0</v>
      </c>
      <c r="D160" s="37">
        <f>+[6]BS17A!$U1481</f>
        <v>42830</v>
      </c>
      <c r="E160" s="145">
        <f>+[6]BS17A!$V1481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+[6]BS17A!$D1482</f>
        <v>0</v>
      </c>
      <c r="D161" s="24">
        <f>+[6]BS17A!$U1482</f>
        <v>26930</v>
      </c>
      <c r="E161" s="146">
        <f>+[6]BS17A!$V1482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+[6]BS17A!$D1483</f>
        <v>0</v>
      </c>
      <c r="D162" s="24">
        <f>+[6]BS17A!$U1483</f>
        <v>27740</v>
      </c>
      <c r="E162" s="146">
        <f>+[6]BS17A!$V1483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+[6]BS17A!$D1484</f>
        <v>0</v>
      </c>
      <c r="D163" s="24">
        <f>+[6]BS17A!$U1484</f>
        <v>832280</v>
      </c>
      <c r="E163" s="146">
        <f>+[6]BS17A!$V1484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+[6]BS17A!$D1485</f>
        <v>0</v>
      </c>
      <c r="D164" s="24">
        <f>+[6]BS17A!$U1485</f>
        <v>378030</v>
      </c>
      <c r="E164" s="146">
        <f>+[6]BS17A!$V1485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+[6]BS17A!$D1486</f>
        <v>0</v>
      </c>
      <c r="D165" s="24">
        <f>+[6]BS17A!$U1486</f>
        <v>578050</v>
      </c>
      <c r="E165" s="146">
        <f>+[6]BS17A!$V1486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+[6]BS17A!$D1487</f>
        <v>0</v>
      </c>
      <c r="D166" s="24">
        <f>+[6]BS17A!$U1487</f>
        <v>52120</v>
      </c>
      <c r="E166" s="146">
        <f>+[6]BS17A!$V1487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+[6]BS17A!$D1488</f>
        <v>0</v>
      </c>
      <c r="D167" s="40">
        <f>+[6]BS17A!$U1488</f>
        <v>677560</v>
      </c>
      <c r="E167" s="153">
        <f>+[6]BS17A!$V1488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5"/>
    </row>
    <row r="172" spans="1:6" ht="46.5" customHeight="1" x14ac:dyDescent="0.2">
      <c r="A172" s="11" t="s">
        <v>8</v>
      </c>
      <c r="B172" s="11" t="s">
        <v>9</v>
      </c>
      <c r="C172" s="242" t="s">
        <v>10</v>
      </c>
      <c r="D172" s="13" t="s">
        <v>11</v>
      </c>
      <c r="E172" s="244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+[6]BS17A!$D805</f>
        <v>14</v>
      </c>
      <c r="D173" s="37">
        <f>+[6]BS17A!$U805</f>
        <v>14690</v>
      </c>
      <c r="E173" s="145">
        <f>+[6]BS17A!$V805</f>
        <v>205660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+[6]BS17A!$D806</f>
        <v>0</v>
      </c>
      <c r="D174" s="24">
        <f>+[6]BS17A!$U806</f>
        <v>11740</v>
      </c>
      <c r="E174" s="146">
        <f>+[6]BS17A!$V806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+[6]BS17A!$D1197</f>
        <v>699</v>
      </c>
      <c r="D175" s="24">
        <f>+[6]BS17A!$U1197</f>
        <v>5030</v>
      </c>
      <c r="E175" s="146">
        <f>+[6]BS17A!$V1197</f>
        <v>3515970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+[6]BS17A!$D1198</f>
        <v>35</v>
      </c>
      <c r="D176" s="24">
        <f>+[6]BS17A!$U1198</f>
        <v>14180</v>
      </c>
      <c r="E176" s="146">
        <f>+[6]BS17A!$V1198</f>
        <v>496300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+[6]BS17A!$D1199</f>
        <v>35</v>
      </c>
      <c r="D177" s="24">
        <f>+[6]BS17A!$U1199</f>
        <v>24050</v>
      </c>
      <c r="E177" s="146">
        <f>+[6]BS17A!$V1199</f>
        <v>841750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+[6]BS17A!$D1200</f>
        <v>0</v>
      </c>
      <c r="D178" s="24">
        <f>+[6]BS17A!$U1200</f>
        <v>45920</v>
      </c>
      <c r="E178" s="146">
        <f>+[6]BS17A!$V1200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+[6]BS17A!$D1201</f>
        <v>157</v>
      </c>
      <c r="D179" s="24">
        <f>+[6]BS17A!$U1201</f>
        <v>51180</v>
      </c>
      <c r="E179" s="146">
        <f>+[6]BS17A!$V1201</f>
        <v>8035260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+[6]BS17A!$D1202</f>
        <v>0</v>
      </c>
      <c r="D180" s="24">
        <f>+[6]BS17A!$U1202</f>
        <v>28710</v>
      </c>
      <c r="E180" s="146">
        <f>+[6]BS17A!$V1202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+[6]BS17A!$D1203</f>
        <v>0</v>
      </c>
      <c r="D181" s="24">
        <f>+[6]BS17A!$U1203</f>
        <v>222100</v>
      </c>
      <c r="E181" s="146">
        <f>+[6]BS17A!$V1203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+[6]BS17A!$D1204</f>
        <v>0</v>
      </c>
      <c r="D182" s="24">
        <f>+[6]BS17A!$U1204</f>
        <v>252490</v>
      </c>
      <c r="E182" s="146">
        <f>+[6]BS17A!$V1204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+[6]BS17A!$D1205</f>
        <v>0</v>
      </c>
      <c r="D183" s="24">
        <f>+[6]BS17A!$U1205</f>
        <v>205900</v>
      </c>
      <c r="E183" s="146">
        <f>+[6]BS17A!$V1205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+[6]BS17A!$D1206</f>
        <v>0</v>
      </c>
      <c r="D184" s="24">
        <f>+[6]BS17A!$U1206</f>
        <v>264470</v>
      </c>
      <c r="E184" s="146">
        <f>+[6]BS17A!$V1206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+[6]BS17A!$D1207</f>
        <v>0</v>
      </c>
      <c r="D185" s="24">
        <f>+[6]BS17A!$U1207</f>
        <v>270610</v>
      </c>
      <c r="E185" s="146">
        <f>+[6]BS17A!$V1207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+[6]BS17A!$D1208</f>
        <v>0</v>
      </c>
      <c r="D186" s="24">
        <f>+[6]BS17A!$U1208</f>
        <v>228850</v>
      </c>
      <c r="E186" s="146">
        <f>+[6]BS17A!$V1208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+[6]BS17A!$D1209</f>
        <v>0</v>
      </c>
      <c r="D187" s="24">
        <f>+[6]BS17A!$U1209</f>
        <v>244270</v>
      </c>
      <c r="E187" s="146">
        <f>+[6]BS17A!$V1209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+[6]BS17A!$D1210</f>
        <v>0</v>
      </c>
      <c r="D188" s="24">
        <f>+[6]BS17A!$U1210</f>
        <v>292090</v>
      </c>
      <c r="E188" s="146">
        <f>+[6]BS17A!$V1210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+[6]BS17A!$D1211</f>
        <v>0</v>
      </c>
      <c r="D189" s="24">
        <f>+[6]BS17A!$U1211</f>
        <v>259010</v>
      </c>
      <c r="E189" s="146">
        <f>+[6]BS17A!$V1211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+[6]BS17A!$D1212</f>
        <v>0</v>
      </c>
      <c r="D190" s="24">
        <f>+[6]BS17A!$U1212</f>
        <v>1895520</v>
      </c>
      <c r="E190" s="146">
        <f>+[6]BS17A!$V1212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+[6]BS17A!$D1213</f>
        <v>0</v>
      </c>
      <c r="D191" s="24">
        <f>+[6]BS17A!$U1213</f>
        <v>1183940</v>
      </c>
      <c r="E191" s="146">
        <f>+[6]BS17A!$V1213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+[6]BS17A!$D1214</f>
        <v>0</v>
      </c>
      <c r="D192" s="24">
        <f>+[6]BS17A!$U1214</f>
        <v>1145920</v>
      </c>
      <c r="E192" s="146">
        <f>+[6]BS17A!$V1214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+[6]BS17A!$D1215</f>
        <v>0</v>
      </c>
      <c r="D193" s="24">
        <f>+[6]BS17A!$U1215</f>
        <v>1200500</v>
      </c>
      <c r="E193" s="146">
        <f>+[6]BS17A!$V1215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+[6]BS17A!$D1216</f>
        <v>0</v>
      </c>
      <c r="D194" s="24">
        <f>+[6]BS17A!$U1216</f>
        <v>169880</v>
      </c>
      <c r="E194" s="146">
        <f>+[6]BS17A!$V1216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+[6]BS17A!$D1217</f>
        <v>0</v>
      </c>
      <c r="D195" s="24">
        <f>+[6]BS17A!$U1217</f>
        <v>387660</v>
      </c>
      <c r="E195" s="146">
        <f>+[6]BS17A!$V1217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+[6]BS17A!$D1218</f>
        <v>0</v>
      </c>
      <c r="D196" s="24">
        <f>+[6]BS17A!$U1218</f>
        <v>143720</v>
      </c>
      <c r="E196" s="146">
        <f>+[6]BS17A!$V1218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+[6]BS17A!$D1219</f>
        <v>0</v>
      </c>
      <c r="D197" s="24">
        <f>+[6]BS17A!$U1219</f>
        <v>1164440</v>
      </c>
      <c r="E197" s="146">
        <f>+[6]BS17A!$V1219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+[6]BS17A!$D1220</f>
        <v>0</v>
      </c>
      <c r="D198" s="24">
        <f>+[6]BS17A!$U1220</f>
        <v>1164440</v>
      </c>
      <c r="E198" s="146">
        <f>+[6]BS17A!$V1220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+[6]BS17A!$D1354</f>
        <v>57</v>
      </c>
      <c r="D199" s="24">
        <f>+[6]BS17A!$U1354</f>
        <v>34730</v>
      </c>
      <c r="E199" s="146">
        <f>+[6]BS17A!$V1354</f>
        <v>1979610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+[6]BS17A!$D1355</f>
        <v>0</v>
      </c>
      <c r="D200" s="24">
        <f>+[6]BS17A!$U1355</f>
        <v>41890</v>
      </c>
      <c r="E200" s="146">
        <f>+[6]BS17A!$V1355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+[6]BS17A!$D1356</f>
        <v>17</v>
      </c>
      <c r="D201" s="24">
        <f>+[6]BS17A!$U1356</f>
        <v>44620</v>
      </c>
      <c r="E201" s="146">
        <f>+[6]BS17A!$V1356</f>
        <v>758540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[6]BS17A!D1036</f>
        <v>0</v>
      </c>
      <c r="D202" s="24">
        <f>[6]BS17A!U1036</f>
        <v>9390</v>
      </c>
      <c r="E202" s="146">
        <f>[6]BS17A!V1036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[6]BS17A!D807</f>
        <v>0</v>
      </c>
      <c r="D203" s="24">
        <f>[6]BS17A!U807</f>
        <v>398560</v>
      </c>
      <c r="E203" s="146">
        <f>[6]BS17A!V807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[6]BS17A!D808</f>
        <v>0</v>
      </c>
      <c r="D204" s="24">
        <f>[6]BS17A!U808</f>
        <v>8946190</v>
      </c>
      <c r="E204" s="146">
        <f>[6]BS17A!V808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[6]BS17A!D809</f>
        <v>0</v>
      </c>
      <c r="D205" s="24">
        <f>[6]BS17A!U809</f>
        <v>229650</v>
      </c>
      <c r="E205" s="146">
        <f>[6]BS17A!V809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[6]BS17A!D810</f>
        <v>0</v>
      </c>
      <c r="D206" s="40">
        <f>[6]BS17A!U810</f>
        <v>1047210</v>
      </c>
      <c r="E206" s="153">
        <f>[6]BS17A!V810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1014</v>
      </c>
      <c r="D207" s="151"/>
      <c r="E207" s="152">
        <f>SUM(E173:E206)</f>
        <v>15833090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5"/>
    </row>
    <row r="211" spans="1:6" ht="39.75" customHeight="1" x14ac:dyDescent="0.2">
      <c r="A211" s="11" t="s">
        <v>8</v>
      </c>
      <c r="B211" s="11" t="s">
        <v>9</v>
      </c>
      <c r="C211" s="242" t="s">
        <v>10</v>
      </c>
      <c r="D211" s="13" t="s">
        <v>11</v>
      </c>
      <c r="E211" s="244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+[6]BS17A!$D18</f>
        <v>0</v>
      </c>
      <c r="D212" s="37">
        <f>+[6]BS17A!$U18</f>
        <v>14530</v>
      </c>
      <c r="E212" s="145">
        <f>+[6]BS17A!$V18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+[6]BS17A!$D19</f>
        <v>55</v>
      </c>
      <c r="D213" s="24">
        <f>+[6]BS17A!$U19</f>
        <v>14530</v>
      </c>
      <c r="E213" s="146">
        <f>+[6]BS17A!$V19</f>
        <v>799150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+[6]BS17A!$D47</f>
        <v>0</v>
      </c>
      <c r="D214" s="24">
        <f>+[6]BS17A!$U47</f>
        <v>1390</v>
      </c>
      <c r="E214" s="146">
        <f>+[6]BS17A!$V47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+[6]BS17A!$D48</f>
        <v>337</v>
      </c>
      <c r="D215" s="24">
        <f>+[6]BS17A!$U48</f>
        <v>680</v>
      </c>
      <c r="E215" s="146">
        <f>+[6]BS17A!$V48</f>
        <v>229160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+[6]BS17A!$D49</f>
        <v>4245</v>
      </c>
      <c r="D216" s="24">
        <f>+[6]BS17A!$U49</f>
        <v>2060</v>
      </c>
      <c r="E216" s="146">
        <f>+[6]BS17A!$V49</f>
        <v>8744700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+[6]BS17A!$D50</f>
        <v>60</v>
      </c>
      <c r="D217" s="24">
        <f>+[6]BS17A!$U50</f>
        <v>15480</v>
      </c>
      <c r="E217" s="146">
        <f>+[6]BS17A!$V50</f>
        <v>928800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+[6]BS17A!$D51</f>
        <v>97</v>
      </c>
      <c r="D218" s="24">
        <f>+[6]BS17A!$U51</f>
        <v>35550</v>
      </c>
      <c r="E218" s="146">
        <f>+[6]BS17A!$V51</f>
        <v>3448350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+[6]BS17A!D52</f>
        <v>0</v>
      </c>
      <c r="D219" s="174"/>
      <c r="E219" s="146">
        <f>+[6]BS17A!V52</f>
        <v>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+[6]BS17A!$D1861</f>
        <v>46</v>
      </c>
      <c r="D220" s="40">
        <f>+[6]BS17A!$U1861</f>
        <v>28810</v>
      </c>
      <c r="E220" s="153">
        <f>+[6]BS17A!$V1861</f>
        <v>1325260</v>
      </c>
      <c r="F220" s="8"/>
    </row>
    <row r="221" spans="1:6" ht="12.75" x14ac:dyDescent="0.2">
      <c r="A221" s="130"/>
      <c r="B221" s="131" t="s">
        <v>329</v>
      </c>
      <c r="C221" s="44">
        <f>SUM(C212:C220)</f>
        <v>4840</v>
      </c>
      <c r="D221" s="151"/>
      <c r="E221" s="175">
        <f>SUM(E212:E220)</f>
        <v>15475420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65" t="s">
        <v>330</v>
      </c>
      <c r="B224" s="766"/>
      <c r="C224" s="767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242" t="s">
        <v>10</v>
      </c>
      <c r="D232" s="13" t="s">
        <v>11</v>
      </c>
      <c r="E232" s="244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+[6]BS17A!$D1941</f>
        <v>497</v>
      </c>
      <c r="D233" s="37">
        <f>+[6]BS17A!$U1941</f>
        <v>19890</v>
      </c>
      <c r="E233" s="145">
        <f>+[6]BS17A!$V1941</f>
        <v>9885330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+[6]BS17A!$D1942</f>
        <v>0</v>
      </c>
      <c r="D234" s="40">
        <f>+[6]BS17A!$U1942</f>
        <v>249320</v>
      </c>
      <c r="E234" s="153">
        <f>+[6]BS17A!$V1942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497</v>
      </c>
      <c r="D235" s="151"/>
      <c r="E235" s="152">
        <f>SUM(E233:E234)</f>
        <v>9885330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8"/>
    </row>
    <row r="239" spans="1:7" ht="41.25" customHeight="1" x14ac:dyDescent="0.2">
      <c r="A239" s="11" t="s">
        <v>8</v>
      </c>
      <c r="B239" s="11" t="s">
        <v>9</v>
      </c>
      <c r="C239" s="242" t="s">
        <v>10</v>
      </c>
      <c r="D239" s="13" t="s">
        <v>11</v>
      </c>
      <c r="E239" s="244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[6]BS17A!D768</f>
        <v>797</v>
      </c>
      <c r="D240" s="191"/>
      <c r="E240" s="192">
        <f>[6]BS17A!V768</f>
        <v>5765700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8"/>
    </row>
    <row r="243" spans="1:6" ht="43.5" customHeight="1" x14ac:dyDescent="0.2">
      <c r="A243" s="11" t="s">
        <v>8</v>
      </c>
      <c r="B243" s="242" t="s">
        <v>346</v>
      </c>
      <c r="C243" s="100" t="s">
        <v>347</v>
      </c>
      <c r="D243" s="13" t="s">
        <v>11</v>
      </c>
      <c r="E243" s="244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+[6]BS17A!$D1944</f>
        <v>0</v>
      </c>
      <c r="D244" s="37">
        <f>+[6]BS17A!$U1944</f>
        <v>254650</v>
      </c>
      <c r="E244" s="145">
        <f>+[6]BS17A!$V1944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+[6]BS17A!$D1945</f>
        <v>0</v>
      </c>
      <c r="D245" s="24">
        <f>+[6]BS17A!$U1945</f>
        <v>36180</v>
      </c>
      <c r="E245" s="146">
        <f>+[6]BS17A!$V1945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+[6]BS17A!$D1946</f>
        <v>0</v>
      </c>
      <c r="D246" s="24">
        <f>+[6]BS17A!$U1946</f>
        <v>136500</v>
      </c>
      <c r="E246" s="146">
        <f>+[6]BS17A!$V1946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+[6]BS17A!$D1947</f>
        <v>0</v>
      </c>
      <c r="D247" s="24">
        <f>+[6]BS17A!$U1947</f>
        <v>136500</v>
      </c>
      <c r="E247" s="146">
        <f>+[6]BS17A!$V1947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+[6]BS17A!$D1948</f>
        <v>0</v>
      </c>
      <c r="D248" s="24">
        <f>+[6]BS17A!$U1948</f>
        <v>248500</v>
      </c>
      <c r="E248" s="146">
        <f>+[6]BS17A!$V1948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+[6]BS17A!$D1949</f>
        <v>0</v>
      </c>
      <c r="D249" s="24">
        <f>+[6]BS17A!$U1949</f>
        <v>381350</v>
      </c>
      <c r="E249" s="146">
        <f>+[6]BS17A!$V1949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+[6]BS17A!$D1950</f>
        <v>0</v>
      </c>
      <c r="D250" s="24">
        <f>+[6]BS17A!$U1950</f>
        <v>650560</v>
      </c>
      <c r="E250" s="146">
        <f>+[6]BS17A!$V1950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+[6]BS17A!$D1951</f>
        <v>0</v>
      </c>
      <c r="D251" s="24">
        <f>+[6]BS17A!$U1951</f>
        <v>135500</v>
      </c>
      <c r="E251" s="146">
        <f>+[6]BS17A!$V1951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+[6]BS17A!$D1952</f>
        <v>0</v>
      </c>
      <c r="D252" s="24">
        <f>+[6]BS17A!$U1952</f>
        <v>365200</v>
      </c>
      <c r="E252" s="146">
        <f>+[6]BS17A!$V1952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+[6]BS17A!$D1953</f>
        <v>0</v>
      </c>
      <c r="D253" s="31">
        <f>+[6]BS17A!$U1953</f>
        <v>153770</v>
      </c>
      <c r="E253" s="198">
        <f>+[6]BS17A!$V1953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+[6]BS17A!$D1954</f>
        <v>0</v>
      </c>
      <c r="D254" s="31">
        <f>+[6]BS17A!$U1954</f>
        <v>133620</v>
      </c>
      <c r="E254" s="198">
        <f>+[6]BS17A!$V1954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+[6]BS17A!$D1955</f>
        <v>0</v>
      </c>
      <c r="D255" s="31">
        <f>+[6]BS17A!$U1955</f>
        <v>203150</v>
      </c>
      <c r="E255" s="198">
        <f>+[6]BS17A!$V1955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+[6]BS17A!$D1956</f>
        <v>0</v>
      </c>
      <c r="D256" s="31">
        <f>+[6]BS17A!$U1956</f>
        <v>53460</v>
      </c>
      <c r="E256" s="198">
        <f>+[6]BS17A!$V1956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+[6]BS17A!$D1957</f>
        <v>0</v>
      </c>
      <c r="D257" s="40">
        <f>+[6]BS17A!$U1957</f>
        <v>39950</v>
      </c>
      <c r="E257" s="153">
        <f>+[6]BS17A!$V1957</f>
        <v>0</v>
      </c>
      <c r="F257" s="8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+[6]BS17A!$D1958</f>
        <v>0</v>
      </c>
      <c r="D259" s="37">
        <f>+[6]BS17A!$U1958</f>
        <v>219080</v>
      </c>
      <c r="E259" s="145">
        <f>+[6]BS17A!$V1958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+[6]BS17A!$D1959</f>
        <v>0</v>
      </c>
      <c r="D260" s="24">
        <f>+[6]BS17A!$U1959</f>
        <v>1303250</v>
      </c>
      <c r="E260" s="146">
        <f>+[6]BS17A!$V1959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+[6]BS17A!$D1960</f>
        <v>0</v>
      </c>
      <c r="D261" s="24">
        <f>+[6]BS17A!$U1960</f>
        <v>196630</v>
      </c>
      <c r="E261" s="146">
        <f>+[6]BS17A!$V1960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+[6]BS17A!$D1961</f>
        <v>0</v>
      </c>
      <c r="D262" s="24">
        <f>+[6]BS17A!$U1961</f>
        <v>173880</v>
      </c>
      <c r="E262" s="146">
        <f>+[6]BS17A!$V1961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+[6]BS17A!$D1962</f>
        <v>0</v>
      </c>
      <c r="D263" s="24">
        <f>+[6]BS17A!$U1962</f>
        <v>352980</v>
      </c>
      <c r="E263" s="146">
        <f>+[6]BS17A!$V1962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+[6]BS17A!$D1963</f>
        <v>0</v>
      </c>
      <c r="D264" s="24">
        <f>+[6]BS17A!$U1963</f>
        <v>1173780</v>
      </c>
      <c r="E264" s="146">
        <f>+[6]BS17A!$V1963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+[6]BS17A!$D1964</f>
        <v>0</v>
      </c>
      <c r="D265" s="24">
        <f>+[6]BS17A!$U1964</f>
        <v>1206250</v>
      </c>
      <c r="E265" s="146">
        <f>+[6]BS17A!$V1964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+[6]BS17A!$D1965</f>
        <v>0</v>
      </c>
      <c r="D266" s="24">
        <f>+[6]BS17A!$U1965</f>
        <v>955090</v>
      </c>
      <c r="E266" s="146">
        <f>+[6]BS17A!$V1965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+[6]BS17A!$D1966</f>
        <v>0</v>
      </c>
      <c r="D267" s="24">
        <f>+[6]BS17A!$U1966</f>
        <v>1006570</v>
      </c>
      <c r="E267" s="146">
        <f>+[6]BS17A!$V1966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+[6]BS17A!$D1967</f>
        <v>0</v>
      </c>
      <c r="D268" s="24">
        <f>+[6]BS17A!$U1967</f>
        <v>397090</v>
      </c>
      <c r="E268" s="146">
        <f>+[6]BS17A!$V1967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+[6]BS17A!$D1968</f>
        <v>0</v>
      </c>
      <c r="D269" s="24">
        <f>+[6]BS17A!$U1968</f>
        <v>95100</v>
      </c>
      <c r="E269" s="146">
        <f>+[6]BS17A!$V1968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+[6]BS17A!$D1969</f>
        <v>0</v>
      </c>
      <c r="D270" s="24">
        <f>+[6]BS17A!$U1969</f>
        <v>283710</v>
      </c>
      <c r="E270" s="146">
        <f>+[6]BS17A!$V1969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+[6]BS17A!$D1970</f>
        <v>0</v>
      </c>
      <c r="D271" s="24">
        <f>+[6]BS17A!$U1970</f>
        <v>80220</v>
      </c>
      <c r="E271" s="146">
        <f>+[6]BS17A!$V1970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+[6]BS17A!$D1971</f>
        <v>0</v>
      </c>
      <c r="D272" s="24">
        <f>+[6]BS17A!$U1971</f>
        <v>1378400</v>
      </c>
      <c r="E272" s="146">
        <f>+[6]BS17A!$V1971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+[6]BS17A!$D1972</f>
        <v>0</v>
      </c>
      <c r="D273" s="24">
        <f>+[6]BS17A!$U1972</f>
        <v>322300</v>
      </c>
      <c r="E273" s="146">
        <f>+[6]BS17A!$V1972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+[6]BS17A!$D1973</f>
        <v>0</v>
      </c>
      <c r="D274" s="24">
        <f>+[6]BS17A!$U1973</f>
        <v>1079720</v>
      </c>
      <c r="E274" s="146">
        <f>+[6]BS17A!$V1973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+[6]BS17A!$D1974</f>
        <v>0</v>
      </c>
      <c r="D275" s="24">
        <f>+[6]BS17A!$U1974</f>
        <v>661000</v>
      </c>
      <c r="E275" s="146">
        <f>+[6]BS17A!$V1974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+[6]BS17A!$D1975</f>
        <v>0</v>
      </c>
      <c r="D276" s="31">
        <f>+[6]BS17A!$U1975</f>
        <v>539420</v>
      </c>
      <c r="E276" s="198">
        <f>+[6]BS17A!$V1975</f>
        <v>0</v>
      </c>
      <c r="F276" s="8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+[6]BS17A!$D1976</f>
        <v>0</v>
      </c>
      <c r="D278" s="20">
        <f>[6]BS17A!U1976</f>
        <v>290780</v>
      </c>
      <c r="E278" s="202">
        <f>+[6]BS17A!$V1976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+[6]BS17A!$D1977</f>
        <v>0</v>
      </c>
      <c r="D279" s="24">
        <f>[6]BS17A!U1977</f>
        <v>169530</v>
      </c>
      <c r="E279" s="146">
        <f>+[6]BS17A!$V1977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+[6]BS17A!$D1978</f>
        <v>0</v>
      </c>
      <c r="D280" s="24">
        <f>[6]BS17A!U1978</f>
        <v>409630</v>
      </c>
      <c r="E280" s="146">
        <f>+[6]BS17A!$V1978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+[6]BS17A!$D1979</f>
        <v>0</v>
      </c>
      <c r="D281" s="24">
        <f>[6]BS17A!U1979</f>
        <v>424500</v>
      </c>
      <c r="E281" s="146">
        <f>+[6]BS17A!$V1979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+[6]BS17A!$D1980</f>
        <v>0</v>
      </c>
      <c r="D282" s="40">
        <f>[6]BS17A!U1980</f>
        <v>265260</v>
      </c>
      <c r="E282" s="153">
        <f>+[6]BS17A!$V1980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+[6]BS17A!$D1981</f>
        <v>104</v>
      </c>
      <c r="D283" s="207">
        <f>[6]BS17A!U1981</f>
        <v>36070</v>
      </c>
      <c r="E283" s="192">
        <f>+[6]BS17A!$V1981</f>
        <v>3751280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104</v>
      </c>
      <c r="D284" s="151"/>
      <c r="E284" s="152">
        <f>SUM(E244:E283)</f>
        <v>3751280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8"/>
    </row>
    <row r="288" spans="1:10" ht="44.25" customHeight="1" x14ac:dyDescent="0.2">
      <c r="A288" s="11" t="s">
        <v>8</v>
      </c>
      <c r="B288" s="11" t="s">
        <v>426</v>
      </c>
      <c r="C288" s="242" t="s">
        <v>347</v>
      </c>
      <c r="D288" s="13" t="s">
        <v>11</v>
      </c>
      <c r="E288" s="244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+[6]BS17A!$D1983</f>
        <v>3</v>
      </c>
      <c r="D289" s="37">
        <f>+[6]BS17A!$U1983</f>
        <v>7100</v>
      </c>
      <c r="E289" s="145">
        <f>+[6]BS17A!$V1983</f>
        <v>21300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+[6]BS17A!$D1984</f>
        <v>0</v>
      </c>
      <c r="D290" s="24">
        <f>+[6]BS17A!$U1984</f>
        <v>3780</v>
      </c>
      <c r="E290" s="146">
        <f>+[6]BS17A!$V1984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+[6]BS17A!$D1985</f>
        <v>1</v>
      </c>
      <c r="D291" s="24">
        <f>+[6]BS17A!$U1985</f>
        <v>14240</v>
      </c>
      <c r="E291" s="146">
        <f>+[6]BS17A!$V1985</f>
        <v>14240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+[6]BS17A!$D1986</f>
        <v>0</v>
      </c>
      <c r="D292" s="24">
        <f>+[6]BS17A!$U1986</f>
        <v>146040</v>
      </c>
      <c r="E292" s="146">
        <f>+[6]BS17A!$V1986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+[6]BS17A!$D1987</f>
        <v>0</v>
      </c>
      <c r="D293" s="40">
        <f>+[6]BS17A!$U1987</f>
        <v>802130</v>
      </c>
      <c r="E293" s="153">
        <f>+[6]BS17A!$V1987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4</v>
      </c>
      <c r="D294" s="57"/>
      <c r="E294" s="107">
        <f>SUM(E289:E293)</f>
        <v>35540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56" t="s">
        <v>438</v>
      </c>
      <c r="B297" s="757"/>
      <c r="C297" s="757"/>
      <c r="D297" s="757"/>
      <c r="E297" s="758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244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+[6]BS17A!$D1863</f>
        <v>214</v>
      </c>
      <c r="D299" s="37">
        <f>+[6]BS17A!$U1863</f>
        <v>18980</v>
      </c>
      <c r="E299" s="145">
        <f>+[6]BS17A!$V1863</f>
        <v>4061720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+[6]BS17A!$D1864</f>
        <v>171</v>
      </c>
      <c r="D300" s="24">
        <f>+[6]BS17A!$U1864</f>
        <v>59710</v>
      </c>
      <c r="E300" s="146">
        <f>+[6]BS17A!$V1864</f>
        <v>10210410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+[6]BS17A!$D1865</f>
        <v>0</v>
      </c>
      <c r="D301" s="24">
        <f>+[6]BS17A!$U1865</f>
        <v>74020</v>
      </c>
      <c r="E301" s="146">
        <f>+[6]BS17A!$V1865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+[6]BS17A!$D1866</f>
        <v>162</v>
      </c>
      <c r="D302" s="24">
        <f>+[6]BS17A!$U1866</f>
        <v>2600</v>
      </c>
      <c r="E302" s="146">
        <f>+[6]BS17A!$V1866</f>
        <v>421200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+[6]BS17A!$D1867</f>
        <v>0</v>
      </c>
      <c r="D303" s="24">
        <f>+[6]BS17A!$U1867</f>
        <v>70</v>
      </c>
      <c r="E303" s="146">
        <f>+[6]BS17A!$V1867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+[6]BS17A!$D1868</f>
        <v>0</v>
      </c>
      <c r="D304" s="24">
        <f>+[6]BS17A!$U1868</f>
        <v>157140</v>
      </c>
      <c r="E304" s="146">
        <f>+[6]BS17A!$V1868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+[6]BS17A!$D1869</f>
        <v>0</v>
      </c>
      <c r="D305" s="40">
        <f>+[6]BS17A!$U1869</f>
        <v>10680</v>
      </c>
      <c r="E305" s="153">
        <f>+[6]BS17A!$V1869</f>
        <v>0</v>
      </c>
      <c r="F305" s="8"/>
    </row>
    <row r="306" spans="1:7" ht="15" customHeight="1" x14ac:dyDescent="0.2">
      <c r="A306" s="96"/>
      <c r="B306" s="771" t="s">
        <v>454</v>
      </c>
      <c r="C306" s="772"/>
      <c r="D306" s="191"/>
      <c r="E306" s="220">
        <f>SUM(E299:E305)</f>
        <v>14693330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45" t="s">
        <v>455</v>
      </c>
      <c r="B309" s="746"/>
      <c r="C309" s="746"/>
      <c r="D309" s="746"/>
      <c r="E309" s="747"/>
      <c r="F309" s="178"/>
      <c r="G309" s="185"/>
    </row>
    <row r="310" spans="1:7" ht="12.75" x14ac:dyDescent="0.2">
      <c r="A310" s="221"/>
      <c r="B310" s="768" t="s">
        <v>456</v>
      </c>
      <c r="C310" s="769"/>
      <c r="D310" s="770"/>
      <c r="E310" s="222">
        <f>+E235+E240+E284+E294+E306</f>
        <v>34131180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45" t="s">
        <v>457</v>
      </c>
      <c r="B313" s="746"/>
      <c r="C313" s="746"/>
      <c r="D313" s="746"/>
      <c r="E313" s="747"/>
      <c r="F313" s="178"/>
      <c r="G313" s="185"/>
    </row>
    <row r="314" spans="1:7" ht="25.5" x14ac:dyDescent="0.2">
      <c r="A314" s="756" t="s">
        <v>458</v>
      </c>
      <c r="B314" s="757"/>
      <c r="C314" s="757"/>
      <c r="D314" s="758"/>
      <c r="E314" s="11" t="s">
        <v>12</v>
      </c>
      <c r="F314" s="178"/>
      <c r="G314" s="185"/>
    </row>
    <row r="315" spans="1:7" ht="15" customHeight="1" x14ac:dyDescent="0.2">
      <c r="A315" s="221"/>
      <c r="B315" s="768" t="s">
        <v>459</v>
      </c>
      <c r="C315" s="769"/>
      <c r="D315" s="770"/>
      <c r="E315" s="222">
        <f>+E50+E76+E84+F109+E116+C121+E148+E155+E168+E207+E221+C228+E310</f>
        <v>783698225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45" t="s">
        <v>460</v>
      </c>
      <c r="B318" s="746"/>
      <c r="C318" s="747"/>
      <c r="D318" s="8"/>
      <c r="E318" s="8"/>
      <c r="F318" s="5"/>
    </row>
    <row r="319" spans="1:7" ht="18" customHeight="1" x14ac:dyDescent="0.2">
      <c r="A319" s="756" t="s">
        <v>461</v>
      </c>
      <c r="B319" s="757"/>
      <c r="C319" s="758"/>
      <c r="D319" s="8"/>
      <c r="E319" s="8"/>
      <c r="F319" s="5"/>
    </row>
    <row r="320" spans="1:7" ht="30.75" customHeight="1" x14ac:dyDescent="0.2">
      <c r="A320" s="745" t="s">
        <v>462</v>
      </c>
      <c r="B320" s="746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7363426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92850989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100214415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74" t="str">
        <f>[6]NOMBRE!B12</f>
        <v xml:space="preserve">SRA. MARIA INES NUÑEZ GONZALEZ </v>
      </c>
      <c r="F338" s="774"/>
    </row>
    <row r="339" spans="1:6" ht="12.75" x14ac:dyDescent="0.2">
      <c r="A339" s="186"/>
      <c r="B339" s="186"/>
      <c r="C339" s="186"/>
      <c r="D339" s="188"/>
      <c r="E339" s="773" t="str">
        <f>[6]NOMBRE!A12</f>
        <v>Jefe de Estadisticas</v>
      </c>
      <c r="F339" s="773"/>
    </row>
    <row r="340" spans="1:6" ht="12.75" x14ac:dyDescent="0.2">
      <c r="A340" s="186"/>
      <c r="B340" s="186"/>
      <c r="C340" s="186"/>
      <c r="D340" s="186"/>
      <c r="E340" s="24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74" t="str">
        <f>[6]NOMBRE!B11</f>
        <v xml:space="preserve">DR. FRANCISCO MARTINEZ CAVALLA </v>
      </c>
      <c r="F347" s="774"/>
    </row>
    <row r="348" spans="1:6" ht="22.5" customHeight="1" x14ac:dyDescent="0.2">
      <c r="A348" s="186"/>
      <c r="B348" s="186"/>
      <c r="C348" s="186"/>
      <c r="D348" s="215"/>
      <c r="E348" s="773" t="str">
        <f>CONCATENATE("Director ",[6]NOMBRE!B1)</f>
        <v xml:space="preserve">Director </v>
      </c>
      <c r="F348" s="773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E348:F348"/>
    <mergeCell ref="A318:C318"/>
    <mergeCell ref="A319:C319"/>
    <mergeCell ref="A320:B320"/>
    <mergeCell ref="E338:F338"/>
    <mergeCell ref="E339:F339"/>
    <mergeCell ref="E347:F347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C21" sqref="C21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491" t="s">
        <v>0</v>
      </c>
      <c r="B1" s="492"/>
      <c r="C1" s="742" t="s">
        <v>1</v>
      </c>
      <c r="D1" s="743"/>
      <c r="E1" s="744"/>
      <c r="F1" s="493"/>
    </row>
    <row r="2" spans="1:7" ht="12.75" x14ac:dyDescent="0.2">
      <c r="A2" s="491" t="str">
        <f>CONCATENATE("COMUNA: ",[7]NOMBRE!B2," - ","( ",[7]NOMBRE!C2,[7]NOMBRE!D2,[7]NOMBRE!E2,[7]NOMBRE!F2,[7]NOMBRE!G2," )")</f>
        <v>COMUNA: LINARES  - ( 07401 )</v>
      </c>
      <c r="B2" s="492"/>
      <c r="C2" s="739"/>
      <c r="D2" s="740"/>
      <c r="E2" s="741"/>
      <c r="F2" s="494"/>
      <c r="G2" s="495"/>
    </row>
    <row r="3" spans="1:7" ht="12.75" x14ac:dyDescent="0.2">
      <c r="A3" s="491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492"/>
      <c r="C3" s="742" t="s">
        <v>2</v>
      </c>
      <c r="D3" s="743"/>
      <c r="E3" s="744"/>
      <c r="F3" s="494"/>
      <c r="G3" s="496"/>
    </row>
    <row r="4" spans="1:7" ht="12.75" x14ac:dyDescent="0.2">
      <c r="A4" s="491" t="str">
        <f>CONCATENATE("MES: ",[7]NOMBRE!B6," - ","( ",[7]NOMBRE!C6,[7]NOMBRE!D6," )")</f>
        <v>MES: JUNIO - ( 06 )</v>
      </c>
      <c r="B4" s="492"/>
      <c r="C4" s="739" t="str">
        <f>CONCATENATE([7]NOMBRE!B6," ","( ",[7]NOMBRE!C6,[7]NOMBRE!D6," )")</f>
        <v>JUNIO ( 06 )</v>
      </c>
      <c r="D4" s="740"/>
      <c r="E4" s="741"/>
      <c r="F4" s="494"/>
      <c r="G4" s="496"/>
    </row>
    <row r="5" spans="1:7" ht="12.75" x14ac:dyDescent="0.2">
      <c r="A5" s="491" t="str">
        <f>CONCATENATE("AÑO: ",[7]NOMBRE!B7)</f>
        <v>AÑO: 2015</v>
      </c>
      <c r="B5" s="492"/>
      <c r="C5" s="742" t="s">
        <v>3</v>
      </c>
      <c r="D5" s="743"/>
      <c r="E5" s="744"/>
      <c r="F5" s="494"/>
      <c r="G5" s="496"/>
    </row>
    <row r="6" spans="1:7" ht="12.75" x14ac:dyDescent="0.2">
      <c r="A6" s="497"/>
      <c r="B6" s="497"/>
      <c r="C6" s="739">
        <f>[7]NOMBRE!B7</f>
        <v>2015</v>
      </c>
      <c r="D6" s="740"/>
      <c r="E6" s="741"/>
      <c r="F6" s="494"/>
      <c r="G6" s="496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494"/>
      <c r="G7" s="496"/>
    </row>
    <row r="8" spans="1:7" ht="15" x14ac:dyDescent="0.2">
      <c r="A8" s="497"/>
      <c r="B8" s="731" t="s">
        <v>6</v>
      </c>
      <c r="C8" s="739" t="str">
        <f>CONCATENATE([7]NOMBRE!B3," ","( ",[7]NOMBRE!C3,[7]NOMBRE!D3,[7]NOMBRE!E3,[7]NOMBRE!F3,[7]NOMBRE!G3," )")</f>
        <v>HOSPITAL DE LINARES  ( 11610 )</v>
      </c>
      <c r="D8" s="740"/>
      <c r="E8" s="741"/>
      <c r="F8" s="494"/>
      <c r="G8" s="496"/>
    </row>
    <row r="9" spans="1:7" ht="12.75" x14ac:dyDescent="0.2">
      <c r="A9" s="497"/>
      <c r="B9" s="497"/>
      <c r="C9" s="497"/>
      <c r="D9" s="497"/>
      <c r="E9" s="497"/>
      <c r="F9" s="494"/>
      <c r="G9" s="496"/>
    </row>
    <row r="10" spans="1:7" ht="12.75" x14ac:dyDescent="0.2">
      <c r="A10" s="497"/>
      <c r="B10" s="497"/>
      <c r="C10" s="497"/>
      <c r="D10" s="497"/>
      <c r="E10" s="497"/>
      <c r="F10" s="494"/>
      <c r="G10" s="498"/>
    </row>
    <row r="11" spans="1:7" ht="12.75" x14ac:dyDescent="0.2">
      <c r="A11" s="753" t="s">
        <v>7</v>
      </c>
      <c r="B11" s="754"/>
      <c r="C11" s="754"/>
      <c r="D11" s="754"/>
      <c r="E11" s="755"/>
      <c r="F11" s="494"/>
    </row>
    <row r="12" spans="1:7" ht="43.5" customHeight="1" x14ac:dyDescent="0.2">
      <c r="A12" s="499" t="s">
        <v>8</v>
      </c>
      <c r="B12" s="499" t="s">
        <v>9</v>
      </c>
      <c r="C12" s="726" t="s">
        <v>10</v>
      </c>
      <c r="D12" s="545" t="s">
        <v>11</v>
      </c>
      <c r="E12" s="728" t="s">
        <v>12</v>
      </c>
      <c r="F12" s="497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497"/>
    </row>
    <row r="14" spans="1:7" ht="15" customHeight="1" x14ac:dyDescent="0.2">
      <c r="A14" s="668" t="s">
        <v>14</v>
      </c>
      <c r="B14" s="677" t="s">
        <v>15</v>
      </c>
      <c r="C14" s="614">
        <f>[7]BS17A!$D13</f>
        <v>0</v>
      </c>
      <c r="D14" s="502">
        <f>[7]BS17A!$U13</f>
        <v>4300</v>
      </c>
      <c r="E14" s="503">
        <f>[7]BS17A!$V13</f>
        <v>0</v>
      </c>
      <c r="F14" s="497"/>
    </row>
    <row r="15" spans="1:7" ht="15" customHeight="1" x14ac:dyDescent="0.2">
      <c r="A15" s="669" t="s">
        <v>16</v>
      </c>
      <c r="B15" s="665" t="s">
        <v>17</v>
      </c>
      <c r="C15" s="614">
        <f>[7]BS17A!$D14</f>
        <v>0</v>
      </c>
      <c r="D15" s="505">
        <f>[7]BS17A!$U14</f>
        <v>5400</v>
      </c>
      <c r="E15" s="506">
        <f>[7]BS17A!$V14</f>
        <v>0</v>
      </c>
      <c r="F15" s="497"/>
    </row>
    <row r="16" spans="1:7" ht="15" customHeight="1" x14ac:dyDescent="0.2">
      <c r="A16" s="669" t="s">
        <v>18</v>
      </c>
      <c r="B16" s="665" t="s">
        <v>19</v>
      </c>
      <c r="C16" s="614">
        <f>[7]BS17A!$D15</f>
        <v>5748</v>
      </c>
      <c r="D16" s="505">
        <f>[7]BS17A!$U15</f>
        <v>11590</v>
      </c>
      <c r="E16" s="506">
        <f>[7]BS17A!$V15</f>
        <v>66619320</v>
      </c>
      <c r="F16" s="497"/>
    </row>
    <row r="17" spans="1:6" ht="15" customHeight="1" x14ac:dyDescent="0.2">
      <c r="A17" s="669" t="s">
        <v>20</v>
      </c>
      <c r="B17" s="665" t="s">
        <v>21</v>
      </c>
      <c r="C17" s="614">
        <f>[7]BS17A!$D16</f>
        <v>0</v>
      </c>
      <c r="D17" s="505">
        <f>[7]BS17A!$U16</f>
        <v>6920</v>
      </c>
      <c r="E17" s="506">
        <f>[7]BS17A!$V16</f>
        <v>0</v>
      </c>
      <c r="F17" s="497"/>
    </row>
    <row r="18" spans="1:6" ht="15" customHeight="1" x14ac:dyDescent="0.2">
      <c r="A18" s="669" t="s">
        <v>22</v>
      </c>
      <c r="B18" s="665" t="s">
        <v>23</v>
      </c>
      <c r="C18" s="614">
        <f>[7]BS17A!$D17</f>
        <v>0</v>
      </c>
      <c r="D18" s="505">
        <f>[7]BS17A!$U17</f>
        <v>7590</v>
      </c>
      <c r="E18" s="506">
        <f>[7]BS17A!$V17</f>
        <v>0</v>
      </c>
      <c r="F18" s="497"/>
    </row>
    <row r="19" spans="1:6" ht="33" customHeight="1" x14ac:dyDescent="0.2">
      <c r="A19" s="669" t="s">
        <v>24</v>
      </c>
      <c r="B19" s="717" t="s">
        <v>25</v>
      </c>
      <c r="C19" s="614">
        <f>[7]BS17A!$D20</f>
        <v>0</v>
      </c>
      <c r="D19" s="505">
        <f>[7]BS17A!$U20</f>
        <v>5860</v>
      </c>
      <c r="E19" s="506">
        <f>[7]BS17A!$V20</f>
        <v>0</v>
      </c>
      <c r="F19" s="497"/>
    </row>
    <row r="20" spans="1:6" ht="42.75" customHeight="1" x14ac:dyDescent="0.2">
      <c r="A20" s="669" t="s">
        <v>26</v>
      </c>
      <c r="B20" s="717" t="s">
        <v>27</v>
      </c>
      <c r="C20" s="614">
        <f>[7]BS17A!$D21</f>
        <v>0</v>
      </c>
      <c r="D20" s="505">
        <f>[7]BS17A!$U21</f>
        <v>7020</v>
      </c>
      <c r="E20" s="506">
        <f>[7]BS17A!$V21</f>
        <v>0</v>
      </c>
      <c r="F20" s="497"/>
    </row>
    <row r="21" spans="1:6" ht="42.75" customHeight="1" x14ac:dyDescent="0.2">
      <c r="A21" s="669" t="s">
        <v>28</v>
      </c>
      <c r="B21" s="717" t="s">
        <v>29</v>
      </c>
      <c r="C21" s="614">
        <f>[7]BS17A!$D22</f>
        <v>0</v>
      </c>
      <c r="D21" s="505">
        <f>[7]BS17A!$U22</f>
        <v>8710</v>
      </c>
      <c r="E21" s="506">
        <f>[7]BS17A!$V22</f>
        <v>0</v>
      </c>
      <c r="F21" s="497"/>
    </row>
    <row r="22" spans="1:6" ht="32.25" customHeight="1" x14ac:dyDescent="0.2">
      <c r="A22" s="669" t="s">
        <v>30</v>
      </c>
      <c r="B22" s="717" t="s">
        <v>31</v>
      </c>
      <c r="C22" s="614">
        <f>[7]BS17A!$D23</f>
        <v>2015</v>
      </c>
      <c r="D22" s="505">
        <f>[7]BS17A!$U23</f>
        <v>5860</v>
      </c>
      <c r="E22" s="506">
        <f>[7]BS17A!$V23</f>
        <v>11807900</v>
      </c>
      <c r="F22" s="497"/>
    </row>
    <row r="23" spans="1:6" ht="40.5" customHeight="1" x14ac:dyDescent="0.2">
      <c r="A23" s="669" t="s">
        <v>32</v>
      </c>
      <c r="B23" s="717" t="s">
        <v>33</v>
      </c>
      <c r="C23" s="614">
        <f>[7]BS17A!$D24</f>
        <v>1090</v>
      </c>
      <c r="D23" s="505">
        <f>[7]BS17A!$U24</f>
        <v>7020</v>
      </c>
      <c r="E23" s="506">
        <f>[7]BS17A!$V24</f>
        <v>7651800</v>
      </c>
      <c r="F23" s="497"/>
    </row>
    <row r="24" spans="1:6" ht="27" customHeight="1" x14ac:dyDescent="0.2">
      <c r="A24" s="669" t="s">
        <v>34</v>
      </c>
      <c r="B24" s="717" t="s">
        <v>35</v>
      </c>
      <c r="C24" s="614">
        <f>[7]BS17A!$D25</f>
        <v>2595</v>
      </c>
      <c r="D24" s="505">
        <f>[7]BS17A!$U25</f>
        <v>8710</v>
      </c>
      <c r="E24" s="506">
        <f>[7]BS17A!$V25</f>
        <v>22602450</v>
      </c>
      <c r="F24" s="497"/>
    </row>
    <row r="25" spans="1:6" ht="15" customHeight="1" x14ac:dyDescent="0.2">
      <c r="A25" s="669" t="s">
        <v>36</v>
      </c>
      <c r="B25" s="664" t="s">
        <v>37</v>
      </c>
      <c r="C25" s="614">
        <f>+[7]BS17A!$D795</f>
        <v>203</v>
      </c>
      <c r="D25" s="505">
        <f>+[7]BS17A!$U795</f>
        <v>7110</v>
      </c>
      <c r="E25" s="506">
        <f>+[7]BS17A!$V795</f>
        <v>1443330</v>
      </c>
      <c r="F25" s="497"/>
    </row>
    <row r="26" spans="1:6" ht="15" customHeight="1" x14ac:dyDescent="0.2">
      <c r="A26" s="670" t="s">
        <v>38</v>
      </c>
      <c r="B26" s="684" t="s">
        <v>39</v>
      </c>
      <c r="C26" s="629">
        <f>+[7]BS17A!$D800</f>
        <v>0</v>
      </c>
      <c r="D26" s="507">
        <f>+[7]BS17A!$U800</f>
        <v>29440</v>
      </c>
      <c r="E26" s="508">
        <f>+[7]BS17A!$V800</f>
        <v>0</v>
      </c>
      <c r="F26" s="497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497"/>
    </row>
    <row r="28" spans="1:6" ht="15" customHeight="1" x14ac:dyDescent="0.2">
      <c r="A28" s="668" t="s">
        <v>41</v>
      </c>
      <c r="B28" s="677" t="s">
        <v>42</v>
      </c>
      <c r="C28" s="617">
        <f>[7]BS17A!$D27</f>
        <v>2085</v>
      </c>
      <c r="D28" s="502">
        <f>[7]BS17A!$U27</f>
        <v>1140</v>
      </c>
      <c r="E28" s="503">
        <f>[7]BS17A!$V27</f>
        <v>2376900</v>
      </c>
      <c r="F28" s="497"/>
    </row>
    <row r="29" spans="1:6" ht="15" customHeight="1" x14ac:dyDescent="0.2">
      <c r="A29" s="669" t="s">
        <v>43</v>
      </c>
      <c r="B29" s="683" t="s">
        <v>44</v>
      </c>
      <c r="C29" s="614">
        <f>[7]BS17A!$D28</f>
        <v>0</v>
      </c>
      <c r="D29" s="505">
        <f>[7]BS17A!$U28</f>
        <v>1960</v>
      </c>
      <c r="E29" s="506">
        <f>[7]BS17A!$V28</f>
        <v>0</v>
      </c>
      <c r="F29" s="497"/>
    </row>
    <row r="30" spans="1:6" ht="15" customHeight="1" x14ac:dyDescent="0.2">
      <c r="A30" s="669" t="s">
        <v>45</v>
      </c>
      <c r="B30" s="665" t="s">
        <v>46</v>
      </c>
      <c r="C30" s="614">
        <f>[7]BS17A!$D29</f>
        <v>0</v>
      </c>
      <c r="D30" s="505">
        <f>[7]BS17A!$U29</f>
        <v>630</v>
      </c>
      <c r="E30" s="506">
        <f>[7]BS17A!$V29</f>
        <v>0</v>
      </c>
      <c r="F30" s="497"/>
    </row>
    <row r="31" spans="1:6" ht="15" customHeight="1" x14ac:dyDescent="0.2">
      <c r="A31" s="669" t="s">
        <v>47</v>
      </c>
      <c r="B31" s="665" t="s">
        <v>48</v>
      </c>
      <c r="C31" s="614">
        <f>[7]BS17A!$D30</f>
        <v>199</v>
      </c>
      <c r="D31" s="505">
        <f>[7]BS17A!$U30</f>
        <v>1550</v>
      </c>
      <c r="E31" s="506">
        <f>[7]BS17A!$V30</f>
        <v>308450</v>
      </c>
      <c r="F31" s="497"/>
    </row>
    <row r="32" spans="1:6" ht="15" customHeight="1" x14ac:dyDescent="0.2">
      <c r="A32" s="669" t="s">
        <v>49</v>
      </c>
      <c r="B32" s="665" t="s">
        <v>50</v>
      </c>
      <c r="C32" s="614">
        <f>[7]BS17A!$D31</f>
        <v>1143</v>
      </c>
      <c r="D32" s="505">
        <f>[7]BS17A!$U31</f>
        <v>1250</v>
      </c>
      <c r="E32" s="506">
        <f>[7]BS17A!$V31</f>
        <v>1428750</v>
      </c>
      <c r="F32" s="497"/>
    </row>
    <row r="33" spans="1:6" ht="15" customHeight="1" x14ac:dyDescent="0.2">
      <c r="A33" s="669" t="s">
        <v>51</v>
      </c>
      <c r="B33" s="683" t="s">
        <v>52</v>
      </c>
      <c r="C33" s="614">
        <f>[7]BS17A!$D32</f>
        <v>0</v>
      </c>
      <c r="D33" s="505">
        <f>[7]BS17A!$U32</f>
        <v>1140</v>
      </c>
      <c r="E33" s="506">
        <f>[7]BS17A!$V32</f>
        <v>0</v>
      </c>
      <c r="F33" s="497"/>
    </row>
    <row r="34" spans="1:6" ht="15" customHeight="1" x14ac:dyDescent="0.2">
      <c r="A34" s="669" t="s">
        <v>53</v>
      </c>
      <c r="B34" s="665" t="s">
        <v>54</v>
      </c>
      <c r="C34" s="614">
        <f>+[7]BS17A!$D796</f>
        <v>382</v>
      </c>
      <c r="D34" s="505">
        <f>+[7]BS17A!$U796</f>
        <v>2780</v>
      </c>
      <c r="E34" s="506">
        <f>+[7]BS17A!$V796</f>
        <v>1061960</v>
      </c>
      <c r="F34" s="497"/>
    </row>
    <row r="35" spans="1:6" ht="15" customHeight="1" x14ac:dyDescent="0.2">
      <c r="A35" s="669" t="s">
        <v>55</v>
      </c>
      <c r="B35" s="683" t="s">
        <v>56</v>
      </c>
      <c r="C35" s="614">
        <f>+[7]BS17A!$D797</f>
        <v>677</v>
      </c>
      <c r="D35" s="505">
        <f>+[7]BS17A!$U797</f>
        <v>2780</v>
      </c>
      <c r="E35" s="506">
        <f>+[7]BS17A!$V797</f>
        <v>1882060</v>
      </c>
      <c r="F35" s="497"/>
    </row>
    <row r="36" spans="1:6" ht="15" customHeight="1" x14ac:dyDescent="0.2">
      <c r="A36" s="669" t="s">
        <v>57</v>
      </c>
      <c r="B36" s="683" t="s">
        <v>58</v>
      </c>
      <c r="C36" s="614">
        <f>+[7]BS17A!$D798</f>
        <v>8</v>
      </c>
      <c r="D36" s="505">
        <f>+[7]BS17A!$U798</f>
        <v>11080</v>
      </c>
      <c r="E36" s="506">
        <f>+[7]BS17A!$V798</f>
        <v>88640</v>
      </c>
      <c r="F36" s="497"/>
    </row>
    <row r="37" spans="1:6" ht="15" customHeight="1" x14ac:dyDescent="0.2">
      <c r="A37" s="670" t="s">
        <v>59</v>
      </c>
      <c r="B37" s="716" t="s">
        <v>60</v>
      </c>
      <c r="C37" s="629">
        <f>+[7]BS17A!$D799</f>
        <v>69</v>
      </c>
      <c r="D37" s="507">
        <f>+[7]BS17A!$U799</f>
        <v>12980</v>
      </c>
      <c r="E37" s="508">
        <f>+[7]BS17A!$V799</f>
        <v>895620</v>
      </c>
      <c r="F37" s="497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497"/>
    </row>
    <row r="39" spans="1:6" ht="15" customHeight="1" x14ac:dyDescent="0.2">
      <c r="A39" s="668" t="s">
        <v>62</v>
      </c>
      <c r="B39" s="663" t="s">
        <v>63</v>
      </c>
      <c r="C39" s="617">
        <f>+[7]BS17A!$D801</f>
        <v>0</v>
      </c>
      <c r="D39" s="510">
        <f>+[7]BS17A!$U801</f>
        <v>3657</v>
      </c>
      <c r="E39" s="511">
        <f>+[7]BS17A!$V801</f>
        <v>0</v>
      </c>
      <c r="F39" s="497"/>
    </row>
    <row r="40" spans="1:6" ht="15" customHeight="1" x14ac:dyDescent="0.2">
      <c r="A40" s="670" t="s">
        <v>64</v>
      </c>
      <c r="B40" s="678" t="s">
        <v>65</v>
      </c>
      <c r="C40" s="629">
        <f>+[7]BS17A!$D802</f>
        <v>0</v>
      </c>
      <c r="D40" s="512">
        <f>+[7]BS17A!$U802</f>
        <v>9455</v>
      </c>
      <c r="E40" s="513">
        <f>+[7]BS17A!$V802</f>
        <v>0</v>
      </c>
      <c r="F40" s="497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497"/>
    </row>
    <row r="42" spans="1:6" ht="15" customHeight="1" x14ac:dyDescent="0.2">
      <c r="A42" s="668" t="s">
        <v>67</v>
      </c>
      <c r="B42" s="685" t="s">
        <v>68</v>
      </c>
      <c r="C42" s="617">
        <f>+[7]BS17A!$D34</f>
        <v>76</v>
      </c>
      <c r="D42" s="510">
        <f>+[7]BS17A!$U34</f>
        <v>3750</v>
      </c>
      <c r="E42" s="511">
        <f>+[7]BS17A!$V34</f>
        <v>285000</v>
      </c>
      <c r="F42" s="497"/>
    </row>
    <row r="43" spans="1:6" ht="15" customHeight="1" x14ac:dyDescent="0.2">
      <c r="A43" s="669" t="s">
        <v>69</v>
      </c>
      <c r="B43" s="665" t="s">
        <v>70</v>
      </c>
      <c r="C43" s="614">
        <f>+[7]BS17A!$D35</f>
        <v>173</v>
      </c>
      <c r="D43" s="505">
        <f>+[7]BS17A!$U35</f>
        <v>2060</v>
      </c>
      <c r="E43" s="506">
        <f>+[7]BS17A!$V35</f>
        <v>356380</v>
      </c>
      <c r="F43" s="497"/>
    </row>
    <row r="44" spans="1:6" ht="15" customHeight="1" x14ac:dyDescent="0.2">
      <c r="A44" s="669" t="s">
        <v>71</v>
      </c>
      <c r="B44" s="665" t="s">
        <v>72</v>
      </c>
      <c r="C44" s="614">
        <f>+[7]BS17A!$D36</f>
        <v>0</v>
      </c>
      <c r="D44" s="505">
        <f>+[7]BS17A!$U36</f>
        <v>2060</v>
      </c>
      <c r="E44" s="506">
        <f>+[7]BS17A!$V36</f>
        <v>0</v>
      </c>
      <c r="F44" s="497"/>
    </row>
    <row r="45" spans="1:6" ht="15" customHeight="1" x14ac:dyDescent="0.2">
      <c r="A45" s="670" t="s">
        <v>73</v>
      </c>
      <c r="B45" s="666" t="s">
        <v>74</v>
      </c>
      <c r="C45" s="629">
        <f>+[7]BS17A!$D37</f>
        <v>300</v>
      </c>
      <c r="D45" s="512">
        <f>+[7]BS17A!$U37</f>
        <v>630</v>
      </c>
      <c r="E45" s="513">
        <f>+[7]BS17A!$V37</f>
        <v>189000</v>
      </c>
      <c r="F45" s="497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497"/>
    </row>
    <row r="47" spans="1:6" ht="15" customHeight="1" x14ac:dyDescent="0.2">
      <c r="A47" s="668" t="s">
        <v>76</v>
      </c>
      <c r="B47" s="685" t="s">
        <v>77</v>
      </c>
      <c r="C47" s="617">
        <f>+[7]BS17A!$D39</f>
        <v>0</v>
      </c>
      <c r="D47" s="510">
        <f>+[7]BS17A!$U39</f>
        <v>1780</v>
      </c>
      <c r="E47" s="511">
        <f>+[7]BS17A!$V39</f>
        <v>0</v>
      </c>
      <c r="F47" s="497"/>
    </row>
    <row r="48" spans="1:6" ht="15" customHeight="1" x14ac:dyDescent="0.2">
      <c r="A48" s="669" t="s">
        <v>78</v>
      </c>
      <c r="B48" s="665" t="s">
        <v>79</v>
      </c>
      <c r="C48" s="614">
        <f>+[7]BS17A!$D40</f>
        <v>65</v>
      </c>
      <c r="D48" s="505">
        <f>+[7]BS17A!$U40</f>
        <v>1780</v>
      </c>
      <c r="E48" s="506">
        <f>+[7]BS17A!$V40</f>
        <v>115700</v>
      </c>
      <c r="F48" s="497"/>
    </row>
    <row r="49" spans="1:7" ht="15" customHeight="1" x14ac:dyDescent="0.2">
      <c r="A49" s="670" t="s">
        <v>80</v>
      </c>
      <c r="B49" s="666" t="s">
        <v>81</v>
      </c>
      <c r="C49" s="629">
        <f>+[7]BS17A!$D41</f>
        <v>0</v>
      </c>
      <c r="D49" s="512">
        <f>+[7]BS17A!$U41</f>
        <v>1030</v>
      </c>
      <c r="E49" s="513">
        <f>+[7]BS17A!$V41</f>
        <v>0</v>
      </c>
      <c r="F49" s="497"/>
    </row>
    <row r="50" spans="1:7" ht="18" customHeight="1" x14ac:dyDescent="0.2">
      <c r="A50" s="514"/>
      <c r="B50" s="645" t="s">
        <v>82</v>
      </c>
      <c r="C50" s="514">
        <f>SUM(C14:C49)</f>
        <v>16828</v>
      </c>
      <c r="D50" s="515"/>
      <c r="E50" s="516">
        <f>SUM(E14:E49)</f>
        <v>119113260</v>
      </c>
      <c r="F50" s="497"/>
    </row>
    <row r="51" spans="1:7" ht="18" customHeight="1" x14ac:dyDescent="0.2">
      <c r="A51" s="517"/>
      <c r="B51" s="517"/>
      <c r="C51" s="517"/>
      <c r="D51" s="518"/>
      <c r="E51" s="519"/>
      <c r="F51" s="497"/>
    </row>
    <row r="52" spans="1:7" ht="12.75" x14ac:dyDescent="0.2">
      <c r="A52" s="497"/>
      <c r="B52" s="497"/>
      <c r="C52" s="497"/>
      <c r="D52" s="497"/>
      <c r="E52" s="497"/>
      <c r="F52" s="520"/>
      <c r="G52" s="521"/>
    </row>
    <row r="53" spans="1:7" ht="12.75" x14ac:dyDescent="0.2">
      <c r="A53" s="759" t="s">
        <v>83</v>
      </c>
      <c r="B53" s="760"/>
      <c r="C53" s="760"/>
      <c r="D53" s="760"/>
      <c r="E53" s="761"/>
      <c r="F53" s="520"/>
      <c r="G53" s="521"/>
    </row>
    <row r="54" spans="1:7" ht="42.75" customHeight="1" x14ac:dyDescent="0.2">
      <c r="A54" s="499" t="s">
        <v>8</v>
      </c>
      <c r="B54" s="499" t="s">
        <v>84</v>
      </c>
      <c r="C54" s="726" t="s">
        <v>10</v>
      </c>
      <c r="D54" s="546"/>
      <c r="E54" s="728" t="s">
        <v>12</v>
      </c>
      <c r="F54" s="497"/>
    </row>
    <row r="55" spans="1:7" ht="18" customHeight="1" x14ac:dyDescent="0.2">
      <c r="A55" s="730" t="s">
        <v>85</v>
      </c>
      <c r="B55" s="706" t="s">
        <v>86</v>
      </c>
      <c r="C55" s="551">
        <f>+[7]BS17!$D12</f>
        <v>62925</v>
      </c>
      <c r="D55" s="523"/>
      <c r="E55" s="524">
        <f>+E56+E57+E58+E59+E60+E61+E65+E66+E67</f>
        <v>91987080</v>
      </c>
      <c r="F55" s="497"/>
    </row>
    <row r="56" spans="1:7" ht="15" customHeight="1" x14ac:dyDescent="0.2">
      <c r="A56" s="704" t="s">
        <v>87</v>
      </c>
      <c r="B56" s="677" t="s">
        <v>88</v>
      </c>
      <c r="C56" s="660">
        <f>+[7]BS17!$D13</f>
        <v>23860</v>
      </c>
      <c r="D56" s="525"/>
      <c r="E56" s="526">
        <f>+[7]BS17A!V83</f>
        <v>26550780</v>
      </c>
      <c r="F56" s="497"/>
    </row>
    <row r="57" spans="1:7" ht="15" customHeight="1" x14ac:dyDescent="0.2">
      <c r="A57" s="669" t="s">
        <v>89</v>
      </c>
      <c r="B57" s="664" t="s">
        <v>90</v>
      </c>
      <c r="C57" s="614">
        <f>+[7]BS17!$D14</f>
        <v>27737</v>
      </c>
      <c r="D57" s="528"/>
      <c r="E57" s="529">
        <f>+[7]BS17A!V174</f>
        <v>34416880</v>
      </c>
      <c r="F57" s="497"/>
    </row>
    <row r="58" spans="1:7" ht="15" customHeight="1" x14ac:dyDescent="0.2">
      <c r="A58" s="669" t="s">
        <v>91</v>
      </c>
      <c r="B58" s="664" t="s">
        <v>92</v>
      </c>
      <c r="C58" s="614">
        <f>+[7]BS17!$D15</f>
        <v>1014</v>
      </c>
      <c r="D58" s="528"/>
      <c r="E58" s="529">
        <f>+[7]BS17A!V243</f>
        <v>3618360</v>
      </c>
      <c r="F58" s="497"/>
    </row>
    <row r="59" spans="1:7" ht="15" customHeight="1" x14ac:dyDescent="0.2">
      <c r="A59" s="669" t="s">
        <v>93</v>
      </c>
      <c r="B59" s="664" t="s">
        <v>94</v>
      </c>
      <c r="C59" s="614">
        <f>+[7]BS17!$D16</f>
        <v>0</v>
      </c>
      <c r="D59" s="528"/>
      <c r="E59" s="529">
        <f>+[7]BS17A!V289</f>
        <v>0</v>
      </c>
      <c r="F59" s="497"/>
    </row>
    <row r="60" spans="1:7" ht="15" customHeight="1" x14ac:dyDescent="0.2">
      <c r="A60" s="699" t="s">
        <v>95</v>
      </c>
      <c r="B60" s="684" t="s">
        <v>96</v>
      </c>
      <c r="C60" s="644">
        <f>+[7]BS17!$D17</f>
        <v>1702</v>
      </c>
      <c r="D60" s="530"/>
      <c r="E60" s="531">
        <f>+[7]BS17A!V295</f>
        <v>8168080</v>
      </c>
      <c r="F60" s="497"/>
    </row>
    <row r="61" spans="1:7" ht="15" customHeight="1" x14ac:dyDescent="0.2">
      <c r="A61" s="668" t="s">
        <v>97</v>
      </c>
      <c r="B61" s="707" t="s">
        <v>98</v>
      </c>
      <c r="C61" s="646">
        <f>+[7]BS17!$D18</f>
        <v>5865</v>
      </c>
      <c r="D61" s="532"/>
      <c r="E61" s="533">
        <f>SUM(E62:E64)</f>
        <v>15597140</v>
      </c>
      <c r="F61" s="497"/>
    </row>
    <row r="62" spans="1:7" ht="15" customHeight="1" x14ac:dyDescent="0.2">
      <c r="A62" s="710"/>
      <c r="B62" s="685" t="s">
        <v>99</v>
      </c>
      <c r="C62" s="617">
        <f>+[7]BS17!$D19</f>
        <v>4671</v>
      </c>
      <c r="D62" s="534"/>
      <c r="E62" s="535">
        <f>+[7]BS17A!V362</f>
        <v>10720640</v>
      </c>
      <c r="F62" s="497"/>
    </row>
    <row r="63" spans="1:7" ht="15" customHeight="1" x14ac:dyDescent="0.2">
      <c r="A63" s="710"/>
      <c r="B63" s="664" t="s">
        <v>100</v>
      </c>
      <c r="C63" s="614">
        <f>+[7]BS17!$D20</f>
        <v>51</v>
      </c>
      <c r="D63" s="528"/>
      <c r="E63" s="529">
        <f>+[7]BS17A!V405</f>
        <v>148810</v>
      </c>
      <c r="F63" s="497"/>
    </row>
    <row r="64" spans="1:7" ht="15" customHeight="1" x14ac:dyDescent="0.2">
      <c r="A64" s="711"/>
      <c r="B64" s="666" t="s">
        <v>101</v>
      </c>
      <c r="C64" s="629">
        <f>+[7]BS17!$D21</f>
        <v>1143</v>
      </c>
      <c r="D64" s="536"/>
      <c r="E64" s="537">
        <f>+[7]BS17A!V428</f>
        <v>4727690</v>
      </c>
      <c r="F64" s="497"/>
    </row>
    <row r="65" spans="1:7" ht="15" customHeight="1" x14ac:dyDescent="0.2">
      <c r="A65" s="704" t="s">
        <v>102</v>
      </c>
      <c r="B65" s="703" t="s">
        <v>103</v>
      </c>
      <c r="C65" s="660">
        <f>+[7]BS17!$D22</f>
        <v>0</v>
      </c>
      <c r="D65" s="525"/>
      <c r="E65" s="526">
        <f>+[7]BS17A!V446</f>
        <v>0</v>
      </c>
      <c r="F65" s="497"/>
    </row>
    <row r="66" spans="1:7" ht="15" customHeight="1" x14ac:dyDescent="0.2">
      <c r="A66" s="669" t="s">
        <v>104</v>
      </c>
      <c r="B66" s="664" t="s">
        <v>105</v>
      </c>
      <c r="C66" s="614">
        <f>+[7]BS17!$D23</f>
        <v>63</v>
      </c>
      <c r="D66" s="528"/>
      <c r="E66" s="529">
        <f>+[7]BS17A!V456</f>
        <v>142540</v>
      </c>
      <c r="F66" s="497"/>
    </row>
    <row r="67" spans="1:7" ht="15" customHeight="1" x14ac:dyDescent="0.2">
      <c r="A67" s="699" t="s">
        <v>106</v>
      </c>
      <c r="B67" s="684" t="s">
        <v>107</v>
      </c>
      <c r="C67" s="644">
        <f>+[7]BS17!$D24</f>
        <v>2684</v>
      </c>
      <c r="D67" s="530"/>
      <c r="E67" s="531">
        <f>+[7]BS17A!V500</f>
        <v>3493300</v>
      </c>
      <c r="F67" s="497"/>
    </row>
    <row r="68" spans="1:7" ht="15" customHeight="1" x14ac:dyDescent="0.2">
      <c r="A68" s="712" t="s">
        <v>108</v>
      </c>
      <c r="B68" s="702" t="s">
        <v>109</v>
      </c>
      <c r="C68" s="661">
        <f>+[7]BS17!$D25</f>
        <v>4494</v>
      </c>
      <c r="D68" s="538"/>
      <c r="E68" s="539">
        <f>SUM(E69:E74)</f>
        <v>78553860</v>
      </c>
      <c r="F68" s="497"/>
    </row>
    <row r="69" spans="1:7" ht="15" customHeight="1" x14ac:dyDescent="0.2">
      <c r="A69" s="669" t="s">
        <v>110</v>
      </c>
      <c r="B69" s="664" t="s">
        <v>111</v>
      </c>
      <c r="C69" s="614">
        <f>+[7]BS17!$D26</f>
        <v>2663</v>
      </c>
      <c r="D69" s="528"/>
      <c r="E69" s="529">
        <f>+[7]BS17A!V535</f>
        <v>21802610</v>
      </c>
      <c r="F69" s="497"/>
    </row>
    <row r="70" spans="1:7" ht="15" customHeight="1" x14ac:dyDescent="0.2">
      <c r="A70" s="669" t="s">
        <v>112</v>
      </c>
      <c r="B70" s="664" t="s">
        <v>113</v>
      </c>
      <c r="C70" s="614">
        <f>+[7]BS17!$D27</f>
        <v>8</v>
      </c>
      <c r="D70" s="528"/>
      <c r="E70" s="529">
        <f>+[7]BS17A!V590</f>
        <v>148240</v>
      </c>
      <c r="F70" s="497"/>
    </row>
    <row r="71" spans="1:7" ht="15" customHeight="1" x14ac:dyDescent="0.2">
      <c r="A71" s="669" t="s">
        <v>114</v>
      </c>
      <c r="B71" s="664" t="s">
        <v>115</v>
      </c>
      <c r="C71" s="614">
        <f>+[7]BS17!$D28</f>
        <v>817</v>
      </c>
      <c r="D71" s="528"/>
      <c r="E71" s="529">
        <f>+[7]BS17A!V615</f>
        <v>43250650</v>
      </c>
      <c r="F71" s="497"/>
    </row>
    <row r="72" spans="1:7" ht="15" customHeight="1" x14ac:dyDescent="0.2">
      <c r="A72" s="669" t="s">
        <v>116</v>
      </c>
      <c r="B72" s="664" t="s">
        <v>117</v>
      </c>
      <c r="C72" s="614">
        <f>+[7]BS17!$D30+[7]BS17!$D32</f>
        <v>831</v>
      </c>
      <c r="D72" s="528"/>
      <c r="E72" s="529">
        <f>+[7]BS17A!V633-[7]BS17A!V634</f>
        <v>12435360</v>
      </c>
      <c r="F72" s="497"/>
    </row>
    <row r="73" spans="1:7" ht="15" customHeight="1" x14ac:dyDescent="0.2">
      <c r="A73" s="713"/>
      <c r="B73" s="664" t="s">
        <v>118</v>
      </c>
      <c r="C73" s="614">
        <f>+[7]BS17!$D31</f>
        <v>175</v>
      </c>
      <c r="D73" s="528"/>
      <c r="E73" s="529">
        <f>+[7]BS17A!V634</f>
        <v>917000</v>
      </c>
      <c r="F73" s="497"/>
    </row>
    <row r="74" spans="1:7" ht="15" customHeight="1" x14ac:dyDescent="0.2">
      <c r="A74" s="714" t="s">
        <v>119</v>
      </c>
      <c r="B74" s="708" t="s">
        <v>120</v>
      </c>
      <c r="C74" s="651">
        <f>+[7]BS17!$D33</f>
        <v>0</v>
      </c>
      <c r="D74" s="623"/>
      <c r="E74" s="624">
        <f>+[7]BS17A!V654</f>
        <v>0</v>
      </c>
      <c r="F74" s="497"/>
    </row>
    <row r="75" spans="1:7" ht="15" customHeight="1" x14ac:dyDescent="0.2">
      <c r="A75" s="715" t="s">
        <v>121</v>
      </c>
      <c r="B75" s="709" t="s">
        <v>122</v>
      </c>
      <c r="C75" s="662">
        <f>+[7]BS17!$D34</f>
        <v>0</v>
      </c>
      <c r="D75" s="540"/>
      <c r="E75" s="541">
        <f>+[7]BS17A!V783</f>
        <v>0</v>
      </c>
      <c r="F75" s="497"/>
    </row>
    <row r="76" spans="1:7" ht="15" customHeight="1" x14ac:dyDescent="0.2">
      <c r="A76" s="671"/>
      <c r="B76" s="729" t="s">
        <v>123</v>
      </c>
      <c r="C76" s="551">
        <f>+C55+C68+C75</f>
        <v>67419</v>
      </c>
      <c r="D76" s="523"/>
      <c r="E76" s="543">
        <f>+E55+E68+E75</f>
        <v>170540940</v>
      </c>
      <c r="F76" s="497"/>
    </row>
    <row r="77" spans="1:7" ht="12.75" x14ac:dyDescent="0.2">
      <c r="A77" s="497"/>
      <c r="B77" s="497"/>
      <c r="C77" s="497"/>
      <c r="D77" s="497"/>
      <c r="E77" s="497"/>
      <c r="F77" s="520"/>
      <c r="G77" s="521"/>
    </row>
    <row r="78" spans="1:7" ht="12.75" x14ac:dyDescent="0.2">
      <c r="A78" s="497"/>
      <c r="B78" s="497"/>
      <c r="C78" s="497"/>
      <c r="D78" s="497"/>
      <c r="E78" s="497"/>
      <c r="F78" s="520"/>
      <c r="G78" s="521"/>
    </row>
    <row r="79" spans="1:7" ht="12.75" x14ac:dyDescent="0.2">
      <c r="A79" s="753" t="s">
        <v>124</v>
      </c>
      <c r="B79" s="754"/>
      <c r="C79" s="754"/>
      <c r="D79" s="754"/>
      <c r="E79" s="755"/>
      <c r="F79" s="520"/>
      <c r="G79" s="521"/>
    </row>
    <row r="80" spans="1:7" ht="45" customHeight="1" x14ac:dyDescent="0.2">
      <c r="A80" s="499" t="s">
        <v>8</v>
      </c>
      <c r="B80" s="727" t="s">
        <v>9</v>
      </c>
      <c r="C80" s="544" t="s">
        <v>10</v>
      </c>
      <c r="D80" s="546"/>
      <c r="E80" s="547" t="s">
        <v>12</v>
      </c>
      <c r="F80" s="520"/>
      <c r="G80" s="521"/>
    </row>
    <row r="81" spans="1:6" ht="15" customHeight="1" x14ac:dyDescent="0.2">
      <c r="A81" s="705" t="s">
        <v>125</v>
      </c>
      <c r="B81" s="677" t="s">
        <v>126</v>
      </c>
      <c r="C81" s="617">
        <f>+[7]BS17!D49</f>
        <v>0</v>
      </c>
      <c r="D81" s="525"/>
      <c r="E81" s="548">
        <f>+SUM([7]BS17A!V673+[7]BS17A!V719)</f>
        <v>0</v>
      </c>
      <c r="F81" s="497"/>
    </row>
    <row r="82" spans="1:6" ht="15" customHeight="1" x14ac:dyDescent="0.2">
      <c r="A82" s="691">
        <v>2001</v>
      </c>
      <c r="B82" s="664" t="s">
        <v>127</v>
      </c>
      <c r="C82" s="614">
        <f>+[7]BS17!E130</f>
        <v>1162</v>
      </c>
      <c r="D82" s="528"/>
      <c r="E82" s="549">
        <f>+[7]BS17A!V1574</f>
        <v>10632760</v>
      </c>
      <c r="F82" s="497"/>
    </row>
    <row r="83" spans="1:6" ht="15" customHeight="1" x14ac:dyDescent="0.2">
      <c r="A83" s="699" t="s">
        <v>128</v>
      </c>
      <c r="B83" s="684" t="s">
        <v>129</v>
      </c>
      <c r="C83" s="644">
        <f>+[7]BS17A!D1849</f>
        <v>29</v>
      </c>
      <c r="D83" s="530"/>
      <c r="E83" s="550">
        <f>+[7]BS17A!V1849</f>
        <v>1938350</v>
      </c>
      <c r="F83" s="497"/>
    </row>
    <row r="84" spans="1:6" ht="17.25" customHeight="1" x14ac:dyDescent="0.2">
      <c r="A84" s="671"/>
      <c r="B84" s="729" t="s">
        <v>130</v>
      </c>
      <c r="C84" s="551">
        <f>+SUM(C81:C83)</f>
        <v>1191</v>
      </c>
      <c r="D84" s="523"/>
      <c r="E84" s="552">
        <f>SUM(E81:E83)</f>
        <v>12571110</v>
      </c>
      <c r="F84" s="497"/>
    </row>
    <row r="85" spans="1:6" ht="12.75" x14ac:dyDescent="0.2">
      <c r="A85" s="497"/>
      <c r="B85" s="497"/>
      <c r="C85" s="497"/>
      <c r="D85" s="497"/>
      <c r="E85" s="497"/>
      <c r="F85" s="497"/>
    </row>
    <row r="86" spans="1:6" ht="12.75" x14ac:dyDescent="0.2">
      <c r="A86" s="497"/>
      <c r="B86" s="497"/>
      <c r="C86" s="497"/>
      <c r="D86" s="497"/>
      <c r="E86" s="497"/>
      <c r="F86" s="494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727" t="s">
        <v>132</v>
      </c>
      <c r="D89" s="628" t="s">
        <v>133</v>
      </c>
      <c r="E89" s="545" t="s">
        <v>134</v>
      </c>
      <c r="F89" s="728" t="s">
        <v>12</v>
      </c>
    </row>
    <row r="90" spans="1:6" ht="15" customHeight="1" x14ac:dyDescent="0.2">
      <c r="A90" s="668" t="s">
        <v>135</v>
      </c>
      <c r="B90" s="663" t="s">
        <v>136</v>
      </c>
      <c r="C90" s="654">
        <f>+[7]BS17!F68</f>
        <v>3</v>
      </c>
      <c r="D90" s="553">
        <f>+[7]BS17!G68</f>
        <v>0</v>
      </c>
      <c r="E90" s="554">
        <f>+[7]BS17!H68</f>
        <v>0</v>
      </c>
      <c r="F90" s="555">
        <f>[7]BS17A!V811</f>
        <v>461700</v>
      </c>
    </row>
    <row r="91" spans="1:6" ht="15" customHeight="1" x14ac:dyDescent="0.2">
      <c r="A91" s="669" t="s">
        <v>137</v>
      </c>
      <c r="B91" s="664" t="s">
        <v>138</v>
      </c>
      <c r="C91" s="655">
        <f>+[7]BS17!F69</f>
        <v>199</v>
      </c>
      <c r="D91" s="556">
        <f>+[7]BS17!G69</f>
        <v>2</v>
      </c>
      <c r="E91" s="557">
        <f>+[7]BS17!H69</f>
        <v>0</v>
      </c>
      <c r="F91" s="558">
        <f>[7]BS17A!V882</f>
        <v>64798290</v>
      </c>
    </row>
    <row r="92" spans="1:6" ht="15" customHeight="1" x14ac:dyDescent="0.2">
      <c r="A92" s="669" t="s">
        <v>139</v>
      </c>
      <c r="B92" s="664" t="s">
        <v>140</v>
      </c>
      <c r="C92" s="655">
        <f>+[7]BS17!F70</f>
        <v>28</v>
      </c>
      <c r="D92" s="556">
        <f>+[7]BS17!G70</f>
        <v>2</v>
      </c>
      <c r="E92" s="557">
        <f>+[7]BS17!H70</f>
        <v>0</v>
      </c>
      <c r="F92" s="558">
        <f>[7]BS17A!V961</f>
        <v>3021670</v>
      </c>
    </row>
    <row r="93" spans="1:6" ht="15" customHeight="1" x14ac:dyDescent="0.2">
      <c r="A93" s="669" t="s">
        <v>141</v>
      </c>
      <c r="B93" s="664" t="s">
        <v>142</v>
      </c>
      <c r="C93" s="655">
        <f>+[7]BS17!F71</f>
        <v>5</v>
      </c>
      <c r="D93" s="556">
        <f>+[7]BS17!G71</f>
        <v>0</v>
      </c>
      <c r="E93" s="557">
        <f>+[7]BS17!H71</f>
        <v>0</v>
      </c>
      <c r="F93" s="558">
        <f>[7]BS17A!V1037</f>
        <v>351670</v>
      </c>
    </row>
    <row r="94" spans="1:6" ht="15" customHeight="1" x14ac:dyDescent="0.2">
      <c r="A94" s="669" t="s">
        <v>143</v>
      </c>
      <c r="B94" s="664" t="s">
        <v>144</v>
      </c>
      <c r="C94" s="655">
        <f>+[7]BS17!F72</f>
        <v>62</v>
      </c>
      <c r="D94" s="556">
        <f>+[7]BS17!G72</f>
        <v>1</v>
      </c>
      <c r="E94" s="557">
        <f>+[7]BS17!H72</f>
        <v>0</v>
      </c>
      <c r="F94" s="558">
        <f>[7]BS17A!V1098</f>
        <v>3912480</v>
      </c>
    </row>
    <row r="95" spans="1:6" ht="15" customHeight="1" x14ac:dyDescent="0.2">
      <c r="A95" s="669" t="s">
        <v>145</v>
      </c>
      <c r="B95" s="664" t="s">
        <v>146</v>
      </c>
      <c r="C95" s="655">
        <f>+[7]BS17!F73</f>
        <v>90</v>
      </c>
      <c r="D95" s="556">
        <f>+[7]BS17!G73</f>
        <v>2</v>
      </c>
      <c r="E95" s="557">
        <f>+[7]BS17!H73</f>
        <v>0</v>
      </c>
      <c r="F95" s="558">
        <f>[7]BS17A!V1166</f>
        <v>2386215</v>
      </c>
    </row>
    <row r="96" spans="1:6" ht="15" customHeight="1" x14ac:dyDescent="0.2">
      <c r="A96" s="669" t="s">
        <v>147</v>
      </c>
      <c r="B96" s="664" t="s">
        <v>148</v>
      </c>
      <c r="C96" s="655">
        <f>+[7]BS17!F74</f>
        <v>2</v>
      </c>
      <c r="D96" s="556">
        <f>+[7]BS17!G74</f>
        <v>0</v>
      </c>
      <c r="E96" s="557">
        <f>+[7]BS17!H74</f>
        <v>0</v>
      </c>
      <c r="F96" s="558">
        <f>[7]BS17A!V1221</f>
        <v>271250</v>
      </c>
    </row>
    <row r="97" spans="1:6" ht="15" customHeight="1" x14ac:dyDescent="0.2">
      <c r="A97" s="669" t="s">
        <v>149</v>
      </c>
      <c r="B97" s="664" t="s">
        <v>150</v>
      </c>
      <c r="C97" s="655">
        <f>+[7]BS17!F75</f>
        <v>1</v>
      </c>
      <c r="D97" s="556">
        <f>+[7]BS17!G75</f>
        <v>0</v>
      </c>
      <c r="E97" s="557">
        <f>+[7]BS17!H75</f>
        <v>0</v>
      </c>
      <c r="F97" s="558">
        <f>[7]BS17A!V1287</f>
        <v>54190</v>
      </c>
    </row>
    <row r="98" spans="1:6" ht="15" customHeight="1" x14ac:dyDescent="0.2">
      <c r="A98" s="669" t="s">
        <v>151</v>
      </c>
      <c r="B98" s="664" t="s">
        <v>152</v>
      </c>
      <c r="C98" s="655">
        <f>+[7]BS17!F76</f>
        <v>160</v>
      </c>
      <c r="D98" s="556">
        <f>+[7]BS17!G76</f>
        <v>8</v>
      </c>
      <c r="E98" s="557">
        <f>+[7]BS17!H76</f>
        <v>0</v>
      </c>
      <c r="F98" s="558">
        <f>[7]BS17A!V1357</f>
        <v>38530350</v>
      </c>
    </row>
    <row r="99" spans="1:6" ht="15" customHeight="1" x14ac:dyDescent="0.2">
      <c r="A99" s="669" t="s">
        <v>153</v>
      </c>
      <c r="B99" s="664" t="s">
        <v>154</v>
      </c>
      <c r="C99" s="655">
        <f>+[7]BS17!F77</f>
        <v>7</v>
      </c>
      <c r="D99" s="556">
        <f>+[7]BS17!G77</f>
        <v>0</v>
      </c>
      <c r="E99" s="557">
        <f>+[7]BS17!H77</f>
        <v>0</v>
      </c>
      <c r="F99" s="558">
        <f>[7]BS17A!V1441</f>
        <v>611110</v>
      </c>
    </row>
    <row r="100" spans="1:6" ht="15" customHeight="1" x14ac:dyDescent="0.2">
      <c r="A100" s="669" t="s">
        <v>155</v>
      </c>
      <c r="B100" s="664" t="s">
        <v>156</v>
      </c>
      <c r="C100" s="655">
        <f>+[7]BS17!F78</f>
        <v>39</v>
      </c>
      <c r="D100" s="556">
        <f>+[7]BS17!G78</f>
        <v>3</v>
      </c>
      <c r="E100" s="557">
        <f>+[7]BS17!H78</f>
        <v>0</v>
      </c>
      <c r="F100" s="558">
        <f>[7]BS17A!V1489</f>
        <v>7737790</v>
      </c>
    </row>
    <row r="101" spans="1:6" ht="15" customHeight="1" x14ac:dyDescent="0.2">
      <c r="A101" s="669" t="s">
        <v>157</v>
      </c>
      <c r="B101" s="664" t="s">
        <v>158</v>
      </c>
      <c r="C101" s="655">
        <f>+[7]BS17!F79</f>
        <v>9</v>
      </c>
      <c r="D101" s="556">
        <f>+[7]BS17!G79</f>
        <v>0</v>
      </c>
      <c r="E101" s="557">
        <f>+[7]BS17!H79</f>
        <v>0</v>
      </c>
      <c r="F101" s="558">
        <f>[7]BS17A!V1592</f>
        <v>2486400</v>
      </c>
    </row>
    <row r="102" spans="1:6" ht="15" customHeight="1" x14ac:dyDescent="0.2">
      <c r="A102" s="699" t="s">
        <v>159</v>
      </c>
      <c r="B102" s="684" t="s">
        <v>160</v>
      </c>
      <c r="C102" s="656">
        <f>+[7]BS17!F80</f>
        <v>34</v>
      </c>
      <c r="D102" s="559">
        <f>+[7]BS17!G80</f>
        <v>3</v>
      </c>
      <c r="E102" s="560">
        <f>+[7]BS17!H80</f>
        <v>0</v>
      </c>
      <c r="F102" s="561">
        <f>[7]BS17A!V1597</f>
        <v>6596210</v>
      </c>
    </row>
    <row r="103" spans="1:6" ht="15" customHeight="1" x14ac:dyDescent="0.2">
      <c r="A103" s="668" t="s">
        <v>161</v>
      </c>
      <c r="B103" s="663" t="s">
        <v>162</v>
      </c>
      <c r="C103" s="654">
        <f>+[7]BS17!F81</f>
        <v>61</v>
      </c>
      <c r="D103" s="553">
        <f>+[7]BS17!G81</f>
        <v>0</v>
      </c>
      <c r="E103" s="554">
        <f>+[7]BS17!H81</f>
        <v>0</v>
      </c>
      <c r="F103" s="555">
        <f>+[7]BS17A!V1631</f>
        <v>7518280</v>
      </c>
    </row>
    <row r="104" spans="1:6" ht="15" customHeight="1" x14ac:dyDescent="0.2">
      <c r="A104" s="669"/>
      <c r="B104" s="664" t="s">
        <v>163</v>
      </c>
      <c r="C104" s="655">
        <f>+[7]BS17A!D1635</f>
        <v>0</v>
      </c>
      <c r="D104" s="556">
        <f>+[7]BS17A!F1635</f>
        <v>0</v>
      </c>
      <c r="E104" s="557">
        <f>+[7]BS17A!G1635</f>
        <v>0</v>
      </c>
      <c r="F104" s="558">
        <f>+[7]BS17A!V1635</f>
        <v>0</v>
      </c>
    </row>
    <row r="105" spans="1:6" ht="15" customHeight="1" x14ac:dyDescent="0.2">
      <c r="A105" s="669"/>
      <c r="B105" s="664" t="s">
        <v>164</v>
      </c>
      <c r="C105" s="655">
        <f>+[7]BS17A!D1634</f>
        <v>43</v>
      </c>
      <c r="D105" s="556">
        <f>+[7]BS17A!F1634</f>
        <v>0</v>
      </c>
      <c r="E105" s="557">
        <f>+[7]BS17A!G1634</f>
        <v>0</v>
      </c>
      <c r="F105" s="558">
        <f>+[7]BS17A!V1634</f>
        <v>5711260</v>
      </c>
    </row>
    <row r="106" spans="1:6" ht="15" customHeight="1" x14ac:dyDescent="0.2">
      <c r="A106" s="670"/>
      <c r="B106" s="678" t="s">
        <v>165</v>
      </c>
      <c r="C106" s="657">
        <f>+[7]BS17A!D1632+[7]BS17A!D1633</f>
        <v>18</v>
      </c>
      <c r="D106" s="563">
        <f>+[7]BS17A!F1632+[7]BS17A!F1633</f>
        <v>0</v>
      </c>
      <c r="E106" s="564">
        <f>+[7]BS17A!G1632+[7]BS17A!G1633</f>
        <v>0</v>
      </c>
      <c r="F106" s="565">
        <f>+[7]BS17A!V1632+[7]BS17A!V1633</f>
        <v>1807020</v>
      </c>
    </row>
    <row r="107" spans="1:6" ht="15" customHeight="1" x14ac:dyDescent="0.2">
      <c r="A107" s="704" t="s">
        <v>166</v>
      </c>
      <c r="B107" s="703" t="s">
        <v>167</v>
      </c>
      <c r="C107" s="658">
        <f>+[7]BS17!F82</f>
        <v>46</v>
      </c>
      <c r="D107" s="566">
        <f>+[7]BS17!G82</f>
        <v>2</v>
      </c>
      <c r="E107" s="567">
        <f>+[7]BS17!H82</f>
        <v>0</v>
      </c>
      <c r="F107" s="568">
        <f>+[7]BS17A!V1639</f>
        <v>10202460</v>
      </c>
    </row>
    <row r="108" spans="1:6" ht="15" customHeight="1" x14ac:dyDescent="0.2">
      <c r="A108" s="700">
        <v>2106</v>
      </c>
      <c r="B108" s="678" t="s">
        <v>168</v>
      </c>
      <c r="C108" s="657">
        <f>[7]BS17A!D1845</f>
        <v>5</v>
      </c>
      <c r="D108" s="563">
        <f>[7]BS17A!F1845</f>
        <v>1</v>
      </c>
      <c r="E108" s="564">
        <f>[7]BS17A!G1845</f>
        <v>0</v>
      </c>
      <c r="F108" s="565">
        <f>+[7]BS17A!V1845</f>
        <v>305525</v>
      </c>
    </row>
    <row r="109" spans="1:6" ht="15" customHeight="1" x14ac:dyDescent="0.2">
      <c r="A109" s="676"/>
      <c r="B109" s="675" t="s">
        <v>169</v>
      </c>
      <c r="C109" s="659">
        <f>SUM(C90:C108)-C103</f>
        <v>751</v>
      </c>
      <c r="D109" s="570">
        <f>SUM(D90:D108)-D103</f>
        <v>24</v>
      </c>
      <c r="E109" s="571">
        <f>+SUM(E90:E103)+E107+E108</f>
        <v>0</v>
      </c>
      <c r="F109" s="572">
        <f>+SUM(F90:F103)+F107+F108</f>
        <v>149245590</v>
      </c>
    </row>
    <row r="110" spans="1:6" ht="12.75" x14ac:dyDescent="0.2">
      <c r="A110" s="497"/>
      <c r="B110" s="497"/>
      <c r="C110" s="497"/>
      <c r="D110" s="497"/>
      <c r="E110" s="497"/>
      <c r="F110" s="494"/>
    </row>
    <row r="111" spans="1:6" ht="12.75" x14ac:dyDescent="0.2">
      <c r="A111" s="497"/>
      <c r="B111" s="497"/>
      <c r="C111" s="497"/>
      <c r="D111" s="497"/>
      <c r="E111" s="497"/>
      <c r="F111" s="494"/>
    </row>
    <row r="112" spans="1:6" ht="12.75" x14ac:dyDescent="0.2">
      <c r="A112" s="753" t="s">
        <v>170</v>
      </c>
      <c r="B112" s="754"/>
      <c r="C112" s="754"/>
      <c r="D112" s="754"/>
      <c r="E112" s="755"/>
      <c r="F112" s="494"/>
    </row>
    <row r="113" spans="1:6" ht="49.5" customHeight="1" x14ac:dyDescent="0.2">
      <c r="A113" s="499" t="s">
        <v>8</v>
      </c>
      <c r="B113" s="499" t="s">
        <v>9</v>
      </c>
      <c r="C113" s="726" t="s">
        <v>10</v>
      </c>
      <c r="D113" s="545" t="s">
        <v>11</v>
      </c>
      <c r="E113" s="728" t="s">
        <v>12</v>
      </c>
      <c r="F113" s="494"/>
    </row>
    <row r="114" spans="1:6" ht="15" customHeight="1" x14ac:dyDescent="0.2">
      <c r="A114" s="668" t="s">
        <v>171</v>
      </c>
      <c r="B114" s="663" t="s">
        <v>172</v>
      </c>
      <c r="C114" s="617">
        <f>+[7]BS17A!D1636</f>
        <v>86</v>
      </c>
      <c r="D114" s="573">
        <f>+[7]BS17A!U1636</f>
        <v>132810</v>
      </c>
      <c r="E114" s="574">
        <f>+[7]BS17A!V1636</f>
        <v>11421660</v>
      </c>
      <c r="F114" s="497"/>
    </row>
    <row r="115" spans="1:6" ht="15" customHeight="1" x14ac:dyDescent="0.2">
      <c r="A115" s="670" t="s">
        <v>173</v>
      </c>
      <c r="B115" s="697" t="s">
        <v>174</v>
      </c>
      <c r="C115" s="644">
        <f>+[7]BS17A!D1637</f>
        <v>10</v>
      </c>
      <c r="D115" s="575">
        <f>+[7]BS17A!U1637</f>
        <v>139740</v>
      </c>
      <c r="E115" s="550">
        <f>+[7]BS17A!V1637</f>
        <v>1397400</v>
      </c>
      <c r="F115" s="497"/>
    </row>
    <row r="116" spans="1:6" ht="15" customHeight="1" x14ac:dyDescent="0.2">
      <c r="A116" s="551"/>
      <c r="B116" s="627" t="s">
        <v>175</v>
      </c>
      <c r="C116" s="551">
        <f>SUM(C114:C115)</f>
        <v>96</v>
      </c>
      <c r="D116" s="523"/>
      <c r="E116" s="552">
        <f>SUM(E114:E115)</f>
        <v>12819060</v>
      </c>
      <c r="F116" s="497"/>
    </row>
    <row r="117" spans="1:6" ht="12.75" x14ac:dyDescent="0.2">
      <c r="A117" s="497"/>
      <c r="B117" s="497"/>
      <c r="C117" s="497"/>
      <c r="D117" s="497"/>
      <c r="E117" s="497"/>
      <c r="F117" s="497"/>
    </row>
    <row r="118" spans="1:6" ht="12.75" x14ac:dyDescent="0.2">
      <c r="A118" s="497"/>
      <c r="B118" s="497"/>
      <c r="C118" s="497"/>
      <c r="D118" s="497"/>
      <c r="E118" s="497"/>
      <c r="F118" s="494"/>
    </row>
    <row r="119" spans="1:6" ht="12.75" x14ac:dyDescent="0.2">
      <c r="A119" s="764" t="s">
        <v>176</v>
      </c>
      <c r="B119" s="764"/>
      <c r="C119" s="764"/>
      <c r="D119" s="497"/>
      <c r="E119" s="497"/>
      <c r="F119" s="494"/>
    </row>
    <row r="120" spans="1:6" ht="38.25" customHeight="1" x14ac:dyDescent="0.2">
      <c r="A120" s="499" t="s">
        <v>8</v>
      </c>
      <c r="B120" s="499" t="s">
        <v>10</v>
      </c>
      <c r="C120" s="499" t="s">
        <v>12</v>
      </c>
      <c r="D120" s="497"/>
      <c r="E120" s="497"/>
      <c r="F120" s="497"/>
    </row>
    <row r="121" spans="1:6" ht="15" customHeight="1" x14ac:dyDescent="0.2">
      <c r="A121" s="576" t="s">
        <v>177</v>
      </c>
      <c r="B121" s="577" t="s">
        <v>178</v>
      </c>
      <c r="C121" s="578">
        <f>+[7]BS17A!V1871+[7]BS17A!V1889+[7]BS17A!V1914</f>
        <v>13658460</v>
      </c>
      <c r="D121" s="497"/>
      <c r="E121" s="497"/>
      <c r="F121" s="497"/>
    </row>
    <row r="122" spans="1:6" ht="12.75" x14ac:dyDescent="0.2">
      <c r="A122" s="497"/>
      <c r="B122" s="497"/>
      <c r="C122" s="497"/>
      <c r="D122" s="497"/>
      <c r="E122" s="494"/>
      <c r="F122" s="497"/>
    </row>
    <row r="123" spans="1:6" ht="12.75" x14ac:dyDescent="0.2">
      <c r="A123" s="497"/>
      <c r="B123" s="497"/>
      <c r="C123" s="497"/>
      <c r="D123" s="497"/>
      <c r="E123" s="494"/>
      <c r="F123" s="497"/>
    </row>
    <row r="124" spans="1:6" ht="12.75" x14ac:dyDescent="0.2">
      <c r="A124" s="753" t="s">
        <v>179</v>
      </c>
      <c r="B124" s="754"/>
      <c r="C124" s="754"/>
      <c r="D124" s="754"/>
      <c r="E124" s="755"/>
      <c r="F124" s="494"/>
    </row>
    <row r="125" spans="1:6" ht="45.75" customHeight="1" x14ac:dyDescent="0.2">
      <c r="A125" s="499" t="s">
        <v>8</v>
      </c>
      <c r="B125" s="499" t="s">
        <v>9</v>
      </c>
      <c r="C125" s="726" t="s">
        <v>10</v>
      </c>
      <c r="D125" s="545" t="s">
        <v>11</v>
      </c>
      <c r="E125" s="728" t="s">
        <v>12</v>
      </c>
      <c r="F125" s="494"/>
    </row>
    <row r="126" spans="1:6" ht="15" customHeight="1" x14ac:dyDescent="0.2">
      <c r="A126" s="668" t="s">
        <v>180</v>
      </c>
      <c r="B126" s="685" t="s">
        <v>181</v>
      </c>
      <c r="C126" s="617">
        <f>+[7]BS17A!$D59</f>
        <v>5588</v>
      </c>
      <c r="D126" s="510">
        <f>+[7]BS17A!$U59</f>
        <v>34010</v>
      </c>
      <c r="E126" s="579">
        <f>+[7]BS17A!$V59</f>
        <v>190047880</v>
      </c>
      <c r="F126" s="497"/>
    </row>
    <row r="127" spans="1:6" ht="15" customHeight="1" x14ac:dyDescent="0.2">
      <c r="A127" s="669" t="s">
        <v>182</v>
      </c>
      <c r="B127" s="665" t="s">
        <v>183</v>
      </c>
      <c r="C127" s="614">
        <f>+[7]BS17A!$D60</f>
        <v>0</v>
      </c>
      <c r="D127" s="505">
        <f>+[7]BS17A!$U60</f>
        <v>31310</v>
      </c>
      <c r="E127" s="580">
        <f>+[7]BS17A!$V60</f>
        <v>0</v>
      </c>
      <c r="F127" s="497"/>
    </row>
    <row r="128" spans="1:6" ht="15" customHeight="1" x14ac:dyDescent="0.2">
      <c r="A128" s="669" t="s">
        <v>184</v>
      </c>
      <c r="B128" s="665" t="s">
        <v>185</v>
      </c>
      <c r="C128" s="614">
        <f>+[7]BS17A!$D61</f>
        <v>0</v>
      </c>
      <c r="D128" s="505">
        <f>+[7]BS17A!$U61</f>
        <v>26100</v>
      </c>
      <c r="E128" s="580">
        <f>+[7]BS17A!$V61</f>
        <v>0</v>
      </c>
      <c r="F128" s="497"/>
    </row>
    <row r="129" spans="1:6" ht="15" customHeight="1" x14ac:dyDescent="0.2">
      <c r="A129" s="669" t="s">
        <v>186</v>
      </c>
      <c r="B129" s="665" t="s">
        <v>187</v>
      </c>
      <c r="C129" s="614">
        <f>SUM([7]BS17A!D62:D64)</f>
        <v>200</v>
      </c>
      <c r="D129" s="505">
        <f>+[7]BS17A!$U62</f>
        <v>141410</v>
      </c>
      <c r="E129" s="580">
        <f>SUM([7]BS17A!V62:V64)</f>
        <v>28282000</v>
      </c>
      <c r="F129" s="497"/>
    </row>
    <row r="130" spans="1:6" ht="15" customHeight="1" x14ac:dyDescent="0.2">
      <c r="A130" s="669" t="s">
        <v>188</v>
      </c>
      <c r="B130" s="665" t="s">
        <v>189</v>
      </c>
      <c r="C130" s="614">
        <f>SUM([7]BS17A!D65:D67)</f>
        <v>317</v>
      </c>
      <c r="D130" s="505">
        <f>+[7]BS17A!$U65</f>
        <v>68290</v>
      </c>
      <c r="E130" s="580">
        <f>SUM([7]BS17A!V65:V67)</f>
        <v>21647930</v>
      </c>
      <c r="F130" s="497"/>
    </row>
    <row r="131" spans="1:6" ht="15" customHeight="1" x14ac:dyDescent="0.2">
      <c r="A131" s="669" t="s">
        <v>190</v>
      </c>
      <c r="B131" s="665" t="s">
        <v>191</v>
      </c>
      <c r="C131" s="614">
        <f>+[7]BS17A!D68</f>
        <v>196</v>
      </c>
      <c r="D131" s="505">
        <f>+[7]BS17A!$U68</f>
        <v>61270</v>
      </c>
      <c r="E131" s="580">
        <f>+[7]BS17A!$V68</f>
        <v>12008920</v>
      </c>
      <c r="F131" s="497"/>
    </row>
    <row r="132" spans="1:6" ht="15" customHeight="1" x14ac:dyDescent="0.2">
      <c r="A132" s="669" t="s">
        <v>192</v>
      </c>
      <c r="B132" s="665" t="s">
        <v>193</v>
      </c>
      <c r="C132" s="614">
        <f>+[7]BS17A!$D69</f>
        <v>0</v>
      </c>
      <c r="D132" s="505">
        <f>+[7]BS17A!$U69</f>
        <v>17390</v>
      </c>
      <c r="E132" s="580">
        <f>+[7]BS17A!$V69</f>
        <v>0</v>
      </c>
      <c r="F132" s="497"/>
    </row>
    <row r="133" spans="1:6" ht="15" customHeight="1" x14ac:dyDescent="0.2">
      <c r="A133" s="669" t="s">
        <v>194</v>
      </c>
      <c r="B133" s="665" t="s">
        <v>195</v>
      </c>
      <c r="C133" s="614">
        <f>+[7]BS17A!$D70</f>
        <v>0</v>
      </c>
      <c r="D133" s="505">
        <f>+[7]BS17A!$U70</f>
        <v>27240</v>
      </c>
      <c r="E133" s="580">
        <f>+[7]BS17A!$V70</f>
        <v>0</v>
      </c>
      <c r="F133" s="497"/>
    </row>
    <row r="134" spans="1:6" ht="15" customHeight="1" x14ac:dyDescent="0.2">
      <c r="A134" s="669" t="s">
        <v>196</v>
      </c>
      <c r="B134" s="665" t="s">
        <v>197</v>
      </c>
      <c r="C134" s="614">
        <f>+[7]BS17A!$D73</f>
        <v>0</v>
      </c>
      <c r="D134" s="505">
        <f>+[7]BS17A!$U73</f>
        <v>27470</v>
      </c>
      <c r="E134" s="580">
        <f>+[7]BS17A!$V73</f>
        <v>0</v>
      </c>
      <c r="F134" s="497"/>
    </row>
    <row r="135" spans="1:6" ht="15" customHeight="1" x14ac:dyDescent="0.2">
      <c r="A135" s="669" t="s">
        <v>198</v>
      </c>
      <c r="B135" s="665" t="s">
        <v>199</v>
      </c>
      <c r="C135" s="614">
        <f>+[7]BS17A!$D71</f>
        <v>0</v>
      </c>
      <c r="D135" s="505">
        <f>+[7]BS17A!$U71</f>
        <v>28360</v>
      </c>
      <c r="E135" s="580">
        <f>+[7]BS17A!$V71</f>
        <v>0</v>
      </c>
      <c r="F135" s="497"/>
    </row>
    <row r="136" spans="1:6" ht="15" customHeight="1" x14ac:dyDescent="0.2">
      <c r="A136" s="669" t="s">
        <v>200</v>
      </c>
      <c r="B136" s="665" t="s">
        <v>201</v>
      </c>
      <c r="C136" s="614">
        <f>+[7]BS17A!$D76</f>
        <v>0</v>
      </c>
      <c r="D136" s="505">
        <f>+[7]BS17A!$U76</f>
        <v>34010</v>
      </c>
      <c r="E136" s="580">
        <f>+[7]BS17A!$V76</f>
        <v>0</v>
      </c>
      <c r="F136" s="497"/>
    </row>
    <row r="137" spans="1:6" ht="15" customHeight="1" x14ac:dyDescent="0.2">
      <c r="A137" s="669" t="s">
        <v>202</v>
      </c>
      <c r="B137" s="664" t="s">
        <v>203</v>
      </c>
      <c r="C137" s="614">
        <f>+[7]BS17A!$D79</f>
        <v>39</v>
      </c>
      <c r="D137" s="505">
        <f>+[7]BS17A!$U79</f>
        <v>6600</v>
      </c>
      <c r="E137" s="580">
        <f>+[7]BS17A!$V79</f>
        <v>257400</v>
      </c>
      <c r="F137" s="497"/>
    </row>
    <row r="138" spans="1:6" ht="15" customHeight="1" x14ac:dyDescent="0.2">
      <c r="A138" s="669" t="s">
        <v>204</v>
      </c>
      <c r="B138" s="664" t="s">
        <v>205</v>
      </c>
      <c r="C138" s="614">
        <f>+[7]BS17A!$D80</f>
        <v>0</v>
      </c>
      <c r="D138" s="505">
        <f>+[7]BS17A!$U80</f>
        <v>47670</v>
      </c>
      <c r="E138" s="580">
        <f>+[7]BS17A!$V80</f>
        <v>0</v>
      </c>
      <c r="F138" s="497"/>
    </row>
    <row r="139" spans="1:6" ht="15" customHeight="1" x14ac:dyDescent="0.2">
      <c r="A139" s="670"/>
      <c r="B139" s="701" t="s">
        <v>206</v>
      </c>
      <c r="C139" s="653">
        <f>SUM(C126:C138)</f>
        <v>6340</v>
      </c>
      <c r="D139" s="581"/>
      <c r="E139" s="582">
        <f>SUM(E126:E138)</f>
        <v>252244130</v>
      </c>
      <c r="F139" s="497"/>
    </row>
    <row r="140" spans="1:6" ht="15" customHeight="1" x14ac:dyDescent="0.2">
      <c r="A140" s="668"/>
      <c r="B140" s="702" t="s">
        <v>207</v>
      </c>
      <c r="C140" s="617"/>
      <c r="D140" s="510"/>
      <c r="E140" s="579"/>
      <c r="F140" s="497"/>
    </row>
    <row r="141" spans="1:6" ht="15" customHeight="1" x14ac:dyDescent="0.2">
      <c r="A141" s="669" t="s">
        <v>208</v>
      </c>
      <c r="B141" s="665" t="s">
        <v>209</v>
      </c>
      <c r="C141" s="614">
        <f>+[7]BS17A!$D72</f>
        <v>0</v>
      </c>
      <c r="D141" s="505">
        <f>+[7]BS17A!$U72</f>
        <v>11430</v>
      </c>
      <c r="E141" s="580">
        <f>+[7]BS17A!$V72</f>
        <v>0</v>
      </c>
      <c r="F141" s="497"/>
    </row>
    <row r="142" spans="1:6" ht="15" customHeight="1" x14ac:dyDescent="0.2">
      <c r="A142" s="669" t="s">
        <v>210</v>
      </c>
      <c r="B142" s="665" t="s">
        <v>211</v>
      </c>
      <c r="C142" s="614">
        <f>+[7]BS17A!$D74</f>
        <v>0</v>
      </c>
      <c r="D142" s="505">
        <f>+[7]BS17A!$U74</f>
        <v>11430</v>
      </c>
      <c r="E142" s="580">
        <f>+[7]BS17A!$V74</f>
        <v>0</v>
      </c>
      <c r="F142" s="497"/>
    </row>
    <row r="143" spans="1:6" ht="15" customHeight="1" x14ac:dyDescent="0.2">
      <c r="A143" s="669" t="s">
        <v>212</v>
      </c>
      <c r="B143" s="665" t="s">
        <v>213</v>
      </c>
      <c r="C143" s="614">
        <f>+[7]BS17A!$D75</f>
        <v>0</v>
      </c>
      <c r="D143" s="505">
        <f>+[7]BS17A!$U75</f>
        <v>5040</v>
      </c>
      <c r="E143" s="580">
        <f>+[7]BS17A!$V75</f>
        <v>0</v>
      </c>
      <c r="F143" s="497"/>
    </row>
    <row r="144" spans="1:6" ht="15" customHeight="1" x14ac:dyDescent="0.2">
      <c r="A144" s="669" t="s">
        <v>214</v>
      </c>
      <c r="B144" s="665" t="s">
        <v>215</v>
      </c>
      <c r="C144" s="614">
        <f>+[7]BS17A!$D77</f>
        <v>0</v>
      </c>
      <c r="D144" s="505">
        <f>+[7]BS17A!$U77</f>
        <v>91950</v>
      </c>
      <c r="E144" s="580">
        <f>+[7]BS17A!$V77</f>
        <v>0</v>
      </c>
      <c r="F144" s="497"/>
    </row>
    <row r="145" spans="1:6" ht="15" customHeight="1" x14ac:dyDescent="0.2">
      <c r="A145" s="669" t="s">
        <v>216</v>
      </c>
      <c r="B145" s="665" t="s">
        <v>217</v>
      </c>
      <c r="C145" s="614">
        <f>+[7]BS17A!$D78</f>
        <v>0</v>
      </c>
      <c r="D145" s="505">
        <f>+[7]BS17A!$U78</f>
        <v>10860</v>
      </c>
      <c r="E145" s="580">
        <f>+[7]BS17A!$V78</f>
        <v>0</v>
      </c>
      <c r="F145" s="497"/>
    </row>
    <row r="146" spans="1:6" ht="15" customHeight="1" x14ac:dyDescent="0.2">
      <c r="A146" s="669" t="s">
        <v>218</v>
      </c>
      <c r="B146" s="665" t="s">
        <v>219</v>
      </c>
      <c r="C146" s="614">
        <f>+[7]BS17A!$D81</f>
        <v>0</v>
      </c>
      <c r="D146" s="505">
        <f>+[7]BS17A!$U81</f>
        <v>8360</v>
      </c>
      <c r="E146" s="580">
        <f>+[7]BS17A!$V81</f>
        <v>0</v>
      </c>
      <c r="F146" s="497"/>
    </row>
    <row r="147" spans="1:6" ht="15" customHeight="1" x14ac:dyDescent="0.2">
      <c r="A147" s="670"/>
      <c r="B147" s="701" t="s">
        <v>220</v>
      </c>
      <c r="C147" s="653">
        <f>SUM(C141:C146)</f>
        <v>0</v>
      </c>
      <c r="D147" s="581"/>
      <c r="E147" s="582">
        <f>SUM(E141:E146)</f>
        <v>0</v>
      </c>
      <c r="F147" s="497"/>
    </row>
    <row r="148" spans="1:6" ht="15" customHeight="1" x14ac:dyDescent="0.2">
      <c r="A148" s="676"/>
      <c r="B148" s="675" t="s">
        <v>221</v>
      </c>
      <c r="C148" s="514">
        <f>+C139+C147</f>
        <v>6340</v>
      </c>
      <c r="D148" s="583"/>
      <c r="E148" s="584">
        <f>+E139+E147</f>
        <v>252244130</v>
      </c>
      <c r="F148" s="497"/>
    </row>
    <row r="149" spans="1:6" ht="12.75" x14ac:dyDescent="0.2">
      <c r="A149" s="497"/>
      <c r="B149" s="497"/>
      <c r="C149" s="497"/>
      <c r="D149" s="497"/>
      <c r="E149" s="497"/>
      <c r="F149" s="497"/>
    </row>
    <row r="150" spans="1:6" ht="12.75" x14ac:dyDescent="0.2">
      <c r="A150" s="497"/>
      <c r="B150" s="497"/>
      <c r="C150" s="497"/>
      <c r="D150" s="497"/>
      <c r="E150" s="497"/>
      <c r="F150" s="494"/>
    </row>
    <row r="151" spans="1:6" ht="12.75" x14ac:dyDescent="0.2">
      <c r="A151" s="745" t="s">
        <v>222</v>
      </c>
      <c r="B151" s="746"/>
      <c r="C151" s="746"/>
      <c r="D151" s="746"/>
      <c r="E151" s="747"/>
      <c r="F151" s="494"/>
    </row>
    <row r="152" spans="1:6" ht="47.25" customHeight="1" x14ac:dyDescent="0.2">
      <c r="A152" s="499" t="s">
        <v>8</v>
      </c>
      <c r="B152" s="499" t="s">
        <v>9</v>
      </c>
      <c r="C152" s="726" t="s">
        <v>10</v>
      </c>
      <c r="D152" s="545" t="s">
        <v>11</v>
      </c>
      <c r="E152" s="728" t="s">
        <v>12</v>
      </c>
      <c r="F152" s="497"/>
    </row>
    <row r="153" spans="1:6" ht="15" customHeight="1" x14ac:dyDescent="0.2">
      <c r="A153" s="668" t="s">
        <v>223</v>
      </c>
      <c r="B153" s="685" t="s">
        <v>224</v>
      </c>
      <c r="C153" s="617">
        <f>+[7]BS17A!D43</f>
        <v>256</v>
      </c>
      <c r="D153" s="510">
        <f>[7]BS17A!U43</f>
        <v>780</v>
      </c>
      <c r="E153" s="579">
        <f>+[7]BS17A!V43</f>
        <v>199680</v>
      </c>
      <c r="F153" s="497"/>
    </row>
    <row r="154" spans="1:6" ht="15" customHeight="1" x14ac:dyDescent="0.2">
      <c r="A154" s="670" t="s">
        <v>225</v>
      </c>
      <c r="B154" s="666" t="s">
        <v>226</v>
      </c>
      <c r="C154" s="629">
        <f>+[7]BS17A!D44+[7]BS17A!D45</f>
        <v>0</v>
      </c>
      <c r="D154" s="512">
        <f>[7]BS17A!U44</f>
        <v>100</v>
      </c>
      <c r="E154" s="585">
        <f>+[7]BS17A!V44+[7]BS17A!V45</f>
        <v>0</v>
      </c>
      <c r="F154" s="497"/>
    </row>
    <row r="155" spans="1:6" ht="15" customHeight="1" x14ac:dyDescent="0.2">
      <c r="A155" s="676"/>
      <c r="B155" s="675" t="s">
        <v>227</v>
      </c>
      <c r="C155" s="514">
        <f>SUM(C153:C154)</f>
        <v>256</v>
      </c>
      <c r="D155" s="583"/>
      <c r="E155" s="584">
        <f>SUM(E153:E154)</f>
        <v>199680</v>
      </c>
      <c r="F155" s="497"/>
    </row>
    <row r="156" spans="1:6" ht="12.75" x14ac:dyDescent="0.2">
      <c r="A156" s="497"/>
      <c r="B156" s="497"/>
      <c r="C156" s="497"/>
      <c r="D156" s="497"/>
      <c r="E156" s="497"/>
      <c r="F156" s="497"/>
    </row>
    <row r="157" spans="1:6" ht="12.75" x14ac:dyDescent="0.2">
      <c r="A157" s="497"/>
      <c r="B157" s="497"/>
      <c r="C157" s="497"/>
      <c r="D157" s="497"/>
      <c r="E157" s="497"/>
      <c r="F157" s="497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494"/>
    </row>
    <row r="159" spans="1:6" ht="47.25" customHeight="1" x14ac:dyDescent="0.2">
      <c r="A159" s="499" t="s">
        <v>8</v>
      </c>
      <c r="B159" s="499" t="s">
        <v>9</v>
      </c>
      <c r="C159" s="726" t="s">
        <v>10</v>
      </c>
      <c r="D159" s="545" t="s">
        <v>11</v>
      </c>
      <c r="E159" s="728" t="s">
        <v>12</v>
      </c>
      <c r="F159" s="497"/>
    </row>
    <row r="160" spans="1:6" ht="15" customHeight="1" x14ac:dyDescent="0.2">
      <c r="A160" s="668" t="s">
        <v>229</v>
      </c>
      <c r="B160" s="663" t="s">
        <v>230</v>
      </c>
      <c r="C160" s="648">
        <f>+[7]BS17A!$D1481</f>
        <v>0</v>
      </c>
      <c r="D160" s="510">
        <f>+[7]BS17A!$U1481</f>
        <v>42830</v>
      </c>
      <c r="E160" s="579">
        <f>+[7]BS17A!$V1481</f>
        <v>0</v>
      </c>
      <c r="F160" s="497"/>
    </row>
    <row r="161" spans="1:6" ht="15" customHeight="1" x14ac:dyDescent="0.2">
      <c r="A161" s="669" t="s">
        <v>231</v>
      </c>
      <c r="B161" s="665" t="s">
        <v>232</v>
      </c>
      <c r="C161" s="652">
        <f>+[7]BS17A!$D1482</f>
        <v>0</v>
      </c>
      <c r="D161" s="505">
        <f>+[7]BS17A!$U1482</f>
        <v>26930</v>
      </c>
      <c r="E161" s="580">
        <f>+[7]BS17A!$V1482</f>
        <v>0</v>
      </c>
      <c r="F161" s="497"/>
    </row>
    <row r="162" spans="1:6" ht="15" customHeight="1" x14ac:dyDescent="0.2">
      <c r="A162" s="669" t="s">
        <v>233</v>
      </c>
      <c r="B162" s="664" t="s">
        <v>234</v>
      </c>
      <c r="C162" s="652">
        <f>+[7]BS17A!$D1483</f>
        <v>0</v>
      </c>
      <c r="D162" s="505">
        <f>+[7]BS17A!$U1483</f>
        <v>27740</v>
      </c>
      <c r="E162" s="580">
        <f>+[7]BS17A!$V1483</f>
        <v>0</v>
      </c>
      <c r="F162" s="497"/>
    </row>
    <row r="163" spans="1:6" ht="15" customHeight="1" x14ac:dyDescent="0.2">
      <c r="A163" s="669" t="s">
        <v>235</v>
      </c>
      <c r="B163" s="665" t="s">
        <v>236</v>
      </c>
      <c r="C163" s="652">
        <f>+[7]BS17A!$D1484</f>
        <v>0</v>
      </c>
      <c r="D163" s="505">
        <f>+[7]BS17A!$U1484</f>
        <v>832280</v>
      </c>
      <c r="E163" s="580">
        <f>+[7]BS17A!$V1484</f>
        <v>0</v>
      </c>
      <c r="F163" s="497"/>
    </row>
    <row r="164" spans="1:6" ht="15" customHeight="1" x14ac:dyDescent="0.2">
      <c r="A164" s="669" t="s">
        <v>237</v>
      </c>
      <c r="B164" s="665" t="s">
        <v>238</v>
      </c>
      <c r="C164" s="652">
        <f>+[7]BS17A!$D1485</f>
        <v>0</v>
      </c>
      <c r="D164" s="505">
        <f>+[7]BS17A!$U1485</f>
        <v>378030</v>
      </c>
      <c r="E164" s="580">
        <f>+[7]BS17A!$V1485</f>
        <v>0</v>
      </c>
      <c r="F164" s="497"/>
    </row>
    <row r="165" spans="1:6" ht="15" customHeight="1" x14ac:dyDescent="0.2">
      <c r="A165" s="669" t="s">
        <v>239</v>
      </c>
      <c r="B165" s="665" t="s">
        <v>240</v>
      </c>
      <c r="C165" s="652">
        <f>+[7]BS17A!$D1486</f>
        <v>0</v>
      </c>
      <c r="D165" s="505">
        <f>+[7]BS17A!$U1486</f>
        <v>578050</v>
      </c>
      <c r="E165" s="580">
        <f>+[7]BS17A!$V1486</f>
        <v>0</v>
      </c>
      <c r="F165" s="497"/>
    </row>
    <row r="166" spans="1:6" ht="15" customHeight="1" x14ac:dyDescent="0.2">
      <c r="A166" s="699" t="s">
        <v>241</v>
      </c>
      <c r="B166" s="697" t="s">
        <v>242</v>
      </c>
      <c r="C166" s="652">
        <f>+[7]BS17A!$D1487</f>
        <v>0</v>
      </c>
      <c r="D166" s="505">
        <f>+[7]BS17A!$U1487</f>
        <v>52120</v>
      </c>
      <c r="E166" s="580">
        <f>+[7]BS17A!$V1487</f>
        <v>0</v>
      </c>
      <c r="F166" s="497"/>
    </row>
    <row r="167" spans="1:6" ht="15" customHeight="1" x14ac:dyDescent="0.2">
      <c r="A167" s="700">
        <v>1901029</v>
      </c>
      <c r="B167" s="698" t="s">
        <v>243</v>
      </c>
      <c r="C167" s="649">
        <f>+[7]BS17A!$D1488</f>
        <v>0</v>
      </c>
      <c r="D167" s="512">
        <f>+[7]BS17A!$U1488</f>
        <v>677560</v>
      </c>
      <c r="E167" s="585">
        <f>+[7]BS17A!$V1488</f>
        <v>0</v>
      </c>
      <c r="F167" s="497"/>
    </row>
    <row r="168" spans="1:6" ht="15" customHeight="1" x14ac:dyDescent="0.2">
      <c r="A168" s="569"/>
      <c r="B168" s="586" t="s">
        <v>244</v>
      </c>
      <c r="C168" s="587">
        <f>SUM(C160:C167)</f>
        <v>0</v>
      </c>
      <c r="D168" s="588"/>
      <c r="E168" s="589">
        <f>SUM(E160:E167)</f>
        <v>0</v>
      </c>
      <c r="F168" s="497"/>
    </row>
    <row r="169" spans="1:6" ht="12.75" x14ac:dyDescent="0.2">
      <c r="A169" s="497"/>
      <c r="B169" s="497"/>
      <c r="C169" s="497"/>
      <c r="D169" s="497"/>
      <c r="E169" s="497"/>
      <c r="F169" s="497"/>
    </row>
    <row r="170" spans="1:6" ht="18" customHeight="1" x14ac:dyDescent="0.2">
      <c r="A170" s="497"/>
      <c r="B170" s="497"/>
      <c r="C170" s="497"/>
      <c r="D170" s="497"/>
      <c r="E170" s="497"/>
      <c r="F170" s="497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494"/>
    </row>
    <row r="172" spans="1:6" ht="46.5" customHeight="1" x14ac:dyDescent="0.2">
      <c r="A172" s="499" t="s">
        <v>8</v>
      </c>
      <c r="B172" s="499" t="s">
        <v>9</v>
      </c>
      <c r="C172" s="726" t="s">
        <v>10</v>
      </c>
      <c r="D172" s="545" t="s">
        <v>11</v>
      </c>
      <c r="E172" s="728" t="s">
        <v>12</v>
      </c>
      <c r="F172" s="497"/>
    </row>
    <row r="173" spans="1:6" ht="12.75" customHeight="1" x14ac:dyDescent="0.2">
      <c r="A173" s="696">
        <v>1101004</v>
      </c>
      <c r="B173" s="692" t="s">
        <v>246</v>
      </c>
      <c r="C173" s="617">
        <f>+[7]BS17A!$D805</f>
        <v>16</v>
      </c>
      <c r="D173" s="510">
        <f>+[7]BS17A!$U805</f>
        <v>14690</v>
      </c>
      <c r="E173" s="579">
        <f>+[7]BS17A!$V805</f>
        <v>235040</v>
      </c>
      <c r="F173" s="497"/>
    </row>
    <row r="174" spans="1:6" ht="12.75" customHeight="1" x14ac:dyDescent="0.2">
      <c r="A174" s="691">
        <v>1101006</v>
      </c>
      <c r="B174" s="693" t="s">
        <v>247</v>
      </c>
      <c r="C174" s="614">
        <f>+[7]BS17A!$D806</f>
        <v>0</v>
      </c>
      <c r="D174" s="505">
        <f>+[7]BS17A!$U806</f>
        <v>11740</v>
      </c>
      <c r="E174" s="580">
        <f>+[7]BS17A!$V806</f>
        <v>0</v>
      </c>
      <c r="F174" s="497"/>
    </row>
    <row r="175" spans="1:6" ht="24.75" customHeight="1" x14ac:dyDescent="0.2">
      <c r="A175" s="691" t="s">
        <v>248</v>
      </c>
      <c r="B175" s="694" t="s">
        <v>249</v>
      </c>
      <c r="C175" s="614">
        <f>+[7]BS17A!$D1197</f>
        <v>518</v>
      </c>
      <c r="D175" s="505">
        <f>+[7]BS17A!$U1197</f>
        <v>5030</v>
      </c>
      <c r="E175" s="580">
        <f>+[7]BS17A!$V1197</f>
        <v>2605540</v>
      </c>
      <c r="F175" s="497"/>
    </row>
    <row r="176" spans="1:6" ht="24.75" customHeight="1" x14ac:dyDescent="0.2">
      <c r="A176" s="691" t="s">
        <v>250</v>
      </c>
      <c r="B176" s="694" t="s">
        <v>251</v>
      </c>
      <c r="C176" s="614">
        <f>+[7]BS17A!$D1198</f>
        <v>17</v>
      </c>
      <c r="D176" s="505">
        <f>+[7]BS17A!$U1198</f>
        <v>14180</v>
      </c>
      <c r="E176" s="580">
        <f>+[7]BS17A!$V1198</f>
        <v>241060</v>
      </c>
      <c r="F176" s="497"/>
    </row>
    <row r="177" spans="1:6" ht="24.75" customHeight="1" x14ac:dyDescent="0.2">
      <c r="A177" s="691" t="s">
        <v>252</v>
      </c>
      <c r="B177" s="694" t="s">
        <v>253</v>
      </c>
      <c r="C177" s="614">
        <f>+[7]BS17A!$D1199</f>
        <v>59</v>
      </c>
      <c r="D177" s="505">
        <f>+[7]BS17A!$U1199</f>
        <v>24050</v>
      </c>
      <c r="E177" s="580">
        <f>+[7]BS17A!$V1199</f>
        <v>1418950</v>
      </c>
      <c r="F177" s="497"/>
    </row>
    <row r="178" spans="1:6" ht="12.75" customHeight="1" x14ac:dyDescent="0.2">
      <c r="A178" s="691" t="s">
        <v>254</v>
      </c>
      <c r="B178" s="694" t="s">
        <v>255</v>
      </c>
      <c r="C178" s="614">
        <f>+[7]BS17A!$D1200</f>
        <v>0</v>
      </c>
      <c r="D178" s="505">
        <f>+[7]BS17A!$U1200</f>
        <v>45920</v>
      </c>
      <c r="E178" s="580">
        <f>+[7]BS17A!$V1200</f>
        <v>0</v>
      </c>
      <c r="F178" s="497"/>
    </row>
    <row r="179" spans="1:6" ht="12.75" customHeight="1" x14ac:dyDescent="0.2">
      <c r="A179" s="691" t="s">
        <v>256</v>
      </c>
      <c r="B179" s="694" t="s">
        <v>257</v>
      </c>
      <c r="C179" s="614">
        <f>+[7]BS17A!$D1201</f>
        <v>166</v>
      </c>
      <c r="D179" s="505">
        <f>+[7]BS17A!$U1201</f>
        <v>51180</v>
      </c>
      <c r="E179" s="580">
        <f>+[7]BS17A!$V1201</f>
        <v>8495880</v>
      </c>
      <c r="F179" s="497"/>
    </row>
    <row r="180" spans="1:6" ht="24.75" customHeight="1" x14ac:dyDescent="0.2">
      <c r="A180" s="691" t="s">
        <v>258</v>
      </c>
      <c r="B180" s="694" t="s">
        <v>259</v>
      </c>
      <c r="C180" s="614">
        <f>+[7]BS17A!$D1202</f>
        <v>0</v>
      </c>
      <c r="D180" s="505">
        <f>+[7]BS17A!$U1202</f>
        <v>28710</v>
      </c>
      <c r="E180" s="580">
        <f>+[7]BS17A!$V1202</f>
        <v>0</v>
      </c>
      <c r="F180" s="497"/>
    </row>
    <row r="181" spans="1:6" ht="12.75" customHeight="1" x14ac:dyDescent="0.2">
      <c r="A181" s="691" t="s">
        <v>260</v>
      </c>
      <c r="B181" s="695" t="s">
        <v>261</v>
      </c>
      <c r="C181" s="614">
        <f>+[7]BS17A!$D1203</f>
        <v>0</v>
      </c>
      <c r="D181" s="505">
        <f>+[7]BS17A!$U1203</f>
        <v>222100</v>
      </c>
      <c r="E181" s="580">
        <f>+[7]BS17A!$V1203</f>
        <v>0</v>
      </c>
      <c r="F181" s="497"/>
    </row>
    <row r="182" spans="1:6" ht="12.75" customHeight="1" x14ac:dyDescent="0.2">
      <c r="A182" s="691" t="s">
        <v>262</v>
      </c>
      <c r="B182" s="694" t="s">
        <v>263</v>
      </c>
      <c r="C182" s="614">
        <f>+[7]BS17A!$D1204</f>
        <v>0</v>
      </c>
      <c r="D182" s="505">
        <f>+[7]BS17A!$U1204</f>
        <v>252490</v>
      </c>
      <c r="E182" s="580">
        <f>+[7]BS17A!$V1204</f>
        <v>0</v>
      </c>
      <c r="F182" s="497"/>
    </row>
    <row r="183" spans="1:6" ht="12.75" customHeight="1" x14ac:dyDescent="0.2">
      <c r="A183" s="691" t="s">
        <v>264</v>
      </c>
      <c r="B183" s="694" t="s">
        <v>265</v>
      </c>
      <c r="C183" s="614">
        <f>+[7]BS17A!$D1205</f>
        <v>0</v>
      </c>
      <c r="D183" s="505">
        <f>+[7]BS17A!$U1205</f>
        <v>205900</v>
      </c>
      <c r="E183" s="580">
        <f>+[7]BS17A!$V1205</f>
        <v>0</v>
      </c>
      <c r="F183" s="497"/>
    </row>
    <row r="184" spans="1:6" ht="24.75" customHeight="1" x14ac:dyDescent="0.2">
      <c r="A184" s="691" t="s">
        <v>266</v>
      </c>
      <c r="B184" s="695" t="s">
        <v>267</v>
      </c>
      <c r="C184" s="614">
        <f>+[7]BS17A!$D1206</f>
        <v>0</v>
      </c>
      <c r="D184" s="505">
        <f>+[7]BS17A!$U1206</f>
        <v>264470</v>
      </c>
      <c r="E184" s="580">
        <f>+[7]BS17A!$V1206</f>
        <v>0</v>
      </c>
      <c r="F184" s="497"/>
    </row>
    <row r="185" spans="1:6" ht="24.75" customHeight="1" x14ac:dyDescent="0.2">
      <c r="A185" s="691" t="s">
        <v>268</v>
      </c>
      <c r="B185" s="695" t="s">
        <v>269</v>
      </c>
      <c r="C185" s="614">
        <f>+[7]BS17A!$D1207</f>
        <v>0</v>
      </c>
      <c r="D185" s="505">
        <f>+[7]BS17A!$U1207</f>
        <v>270610</v>
      </c>
      <c r="E185" s="580">
        <f>+[7]BS17A!$V1207</f>
        <v>0</v>
      </c>
      <c r="F185" s="497"/>
    </row>
    <row r="186" spans="1:6" ht="24.75" customHeight="1" x14ac:dyDescent="0.2">
      <c r="A186" s="691" t="s">
        <v>270</v>
      </c>
      <c r="B186" s="695" t="s">
        <v>271</v>
      </c>
      <c r="C186" s="614">
        <f>+[7]BS17A!$D1208</f>
        <v>0</v>
      </c>
      <c r="D186" s="505">
        <f>+[7]BS17A!$U1208</f>
        <v>228850</v>
      </c>
      <c r="E186" s="580">
        <f>+[7]BS17A!$V1208</f>
        <v>0</v>
      </c>
      <c r="F186" s="497"/>
    </row>
    <row r="187" spans="1:6" ht="12.75" customHeight="1" x14ac:dyDescent="0.2">
      <c r="A187" s="691" t="s">
        <v>272</v>
      </c>
      <c r="B187" s="695" t="s">
        <v>273</v>
      </c>
      <c r="C187" s="614">
        <f>+[7]BS17A!$D1209</f>
        <v>0</v>
      </c>
      <c r="D187" s="505">
        <f>+[7]BS17A!$U1209</f>
        <v>244270</v>
      </c>
      <c r="E187" s="580">
        <f>+[7]BS17A!$V1209</f>
        <v>0</v>
      </c>
      <c r="F187" s="497"/>
    </row>
    <row r="188" spans="1:6" ht="12.75" customHeight="1" x14ac:dyDescent="0.2">
      <c r="A188" s="691" t="s">
        <v>274</v>
      </c>
      <c r="B188" s="695" t="s">
        <v>275</v>
      </c>
      <c r="C188" s="614">
        <f>+[7]BS17A!$D1210</f>
        <v>0</v>
      </c>
      <c r="D188" s="505">
        <f>+[7]BS17A!$U1210</f>
        <v>292090</v>
      </c>
      <c r="E188" s="580">
        <f>+[7]BS17A!$V1210</f>
        <v>0</v>
      </c>
      <c r="F188" s="497"/>
    </row>
    <row r="189" spans="1:6" ht="24.75" customHeight="1" x14ac:dyDescent="0.2">
      <c r="A189" s="691" t="s">
        <v>276</v>
      </c>
      <c r="B189" s="694" t="s">
        <v>277</v>
      </c>
      <c r="C189" s="614">
        <f>+[7]BS17A!$D1211</f>
        <v>0</v>
      </c>
      <c r="D189" s="505">
        <f>+[7]BS17A!$U1211</f>
        <v>259010</v>
      </c>
      <c r="E189" s="580">
        <f>+[7]BS17A!$V1211</f>
        <v>0</v>
      </c>
      <c r="F189" s="497"/>
    </row>
    <row r="190" spans="1:6" ht="24.75" customHeight="1" x14ac:dyDescent="0.2">
      <c r="A190" s="691" t="s">
        <v>278</v>
      </c>
      <c r="B190" s="695" t="s">
        <v>279</v>
      </c>
      <c r="C190" s="614">
        <f>+[7]BS17A!$D1212</f>
        <v>0</v>
      </c>
      <c r="D190" s="505">
        <f>+[7]BS17A!$U1212</f>
        <v>1895520</v>
      </c>
      <c r="E190" s="580">
        <f>+[7]BS17A!$V1212</f>
        <v>0</v>
      </c>
      <c r="F190" s="497"/>
    </row>
    <row r="191" spans="1:6" ht="12.75" customHeight="1" x14ac:dyDescent="0.2">
      <c r="A191" s="691" t="s">
        <v>280</v>
      </c>
      <c r="B191" s="695" t="s">
        <v>281</v>
      </c>
      <c r="C191" s="614">
        <f>+[7]BS17A!$D1213</f>
        <v>0</v>
      </c>
      <c r="D191" s="505">
        <f>+[7]BS17A!$U1213</f>
        <v>1183940</v>
      </c>
      <c r="E191" s="580">
        <f>+[7]BS17A!$V1213</f>
        <v>0</v>
      </c>
      <c r="F191" s="497"/>
    </row>
    <row r="192" spans="1:6" ht="12.75" customHeight="1" x14ac:dyDescent="0.2">
      <c r="A192" s="669" t="s">
        <v>282</v>
      </c>
      <c r="B192" s="695" t="s">
        <v>283</v>
      </c>
      <c r="C192" s="614">
        <f>+[7]BS17A!$D1214</f>
        <v>0</v>
      </c>
      <c r="D192" s="505">
        <f>+[7]BS17A!$U1214</f>
        <v>1145920</v>
      </c>
      <c r="E192" s="580">
        <f>+[7]BS17A!$V1214</f>
        <v>0</v>
      </c>
      <c r="F192" s="497"/>
    </row>
    <row r="193" spans="1:6" ht="24.75" customHeight="1" x14ac:dyDescent="0.2">
      <c r="A193" s="691" t="s">
        <v>284</v>
      </c>
      <c r="B193" s="695" t="s">
        <v>285</v>
      </c>
      <c r="C193" s="614">
        <f>+[7]BS17A!$D1215</f>
        <v>0</v>
      </c>
      <c r="D193" s="505">
        <f>+[7]BS17A!$U1215</f>
        <v>1200500</v>
      </c>
      <c r="E193" s="580">
        <f>+[7]BS17A!$V1215</f>
        <v>0</v>
      </c>
      <c r="F193" s="497"/>
    </row>
    <row r="194" spans="1:6" ht="12.75" customHeight="1" x14ac:dyDescent="0.2">
      <c r="A194" s="669" t="s">
        <v>286</v>
      </c>
      <c r="B194" s="695" t="s">
        <v>287</v>
      </c>
      <c r="C194" s="614">
        <f>+[7]BS17A!$D1216</f>
        <v>0</v>
      </c>
      <c r="D194" s="505">
        <f>+[7]BS17A!$U1216</f>
        <v>169880</v>
      </c>
      <c r="E194" s="580">
        <f>+[7]BS17A!$V1216</f>
        <v>0</v>
      </c>
      <c r="F194" s="497"/>
    </row>
    <row r="195" spans="1:6" ht="12.75" customHeight="1" x14ac:dyDescent="0.2">
      <c r="A195" s="669" t="s">
        <v>288</v>
      </c>
      <c r="B195" s="695" t="s">
        <v>289</v>
      </c>
      <c r="C195" s="614">
        <f>+[7]BS17A!$D1217</f>
        <v>0</v>
      </c>
      <c r="D195" s="505">
        <f>+[7]BS17A!$U1217</f>
        <v>387660</v>
      </c>
      <c r="E195" s="580">
        <f>+[7]BS17A!$V1217</f>
        <v>0</v>
      </c>
      <c r="F195" s="497"/>
    </row>
    <row r="196" spans="1:6" ht="12.75" customHeight="1" x14ac:dyDescent="0.2">
      <c r="A196" s="691" t="s">
        <v>290</v>
      </c>
      <c r="B196" s="695" t="s">
        <v>291</v>
      </c>
      <c r="C196" s="614">
        <f>+[7]BS17A!$D1218</f>
        <v>0</v>
      </c>
      <c r="D196" s="505">
        <f>+[7]BS17A!$U1218</f>
        <v>143720</v>
      </c>
      <c r="E196" s="580">
        <f>+[7]BS17A!$V1218</f>
        <v>0</v>
      </c>
      <c r="F196" s="497"/>
    </row>
    <row r="197" spans="1:6" ht="12.75" customHeight="1" x14ac:dyDescent="0.2">
      <c r="A197" s="691" t="s">
        <v>292</v>
      </c>
      <c r="B197" s="695" t="s">
        <v>293</v>
      </c>
      <c r="C197" s="614">
        <f>+[7]BS17A!$D1219</f>
        <v>0</v>
      </c>
      <c r="D197" s="505">
        <f>+[7]BS17A!$U1219</f>
        <v>1164440</v>
      </c>
      <c r="E197" s="580">
        <f>+[7]BS17A!$V1219</f>
        <v>0</v>
      </c>
      <c r="F197" s="497"/>
    </row>
    <row r="198" spans="1:6" ht="12.75" customHeight="1" x14ac:dyDescent="0.2">
      <c r="A198" s="691" t="s">
        <v>294</v>
      </c>
      <c r="B198" s="695" t="s">
        <v>295</v>
      </c>
      <c r="C198" s="614">
        <f>+[7]BS17A!$D1220</f>
        <v>0</v>
      </c>
      <c r="D198" s="505">
        <f>+[7]BS17A!$U1220</f>
        <v>1164440</v>
      </c>
      <c r="E198" s="580">
        <f>+[7]BS17A!$V1220</f>
        <v>0</v>
      </c>
      <c r="F198" s="497"/>
    </row>
    <row r="199" spans="1:6" ht="12.75" customHeight="1" x14ac:dyDescent="0.2">
      <c r="A199" s="691">
        <v>1801001</v>
      </c>
      <c r="B199" s="693" t="s">
        <v>296</v>
      </c>
      <c r="C199" s="614">
        <f>+[7]BS17A!$D1354</f>
        <v>22</v>
      </c>
      <c r="D199" s="505">
        <f>+[7]BS17A!$U1354</f>
        <v>34730</v>
      </c>
      <c r="E199" s="580">
        <f>+[7]BS17A!$V1354</f>
        <v>764060</v>
      </c>
      <c r="F199" s="497"/>
    </row>
    <row r="200" spans="1:6" ht="12.75" customHeight="1" x14ac:dyDescent="0.2">
      <c r="A200" s="691">
        <v>1801003</v>
      </c>
      <c r="B200" s="695" t="s">
        <v>297</v>
      </c>
      <c r="C200" s="614">
        <f>+[7]BS17A!$D1355</f>
        <v>0</v>
      </c>
      <c r="D200" s="505">
        <f>+[7]BS17A!$U1355</f>
        <v>41890</v>
      </c>
      <c r="E200" s="580">
        <f>+[7]BS17A!$V1355</f>
        <v>0</v>
      </c>
      <c r="F200" s="497"/>
    </row>
    <row r="201" spans="1:6" ht="12.75" customHeight="1" x14ac:dyDescent="0.2">
      <c r="A201" s="691">
        <v>1801006</v>
      </c>
      <c r="B201" s="693" t="s">
        <v>298</v>
      </c>
      <c r="C201" s="614">
        <f>+[7]BS17A!$D1356</f>
        <v>21</v>
      </c>
      <c r="D201" s="505">
        <f>+[7]BS17A!$U1356</f>
        <v>44620</v>
      </c>
      <c r="E201" s="580">
        <f>+[7]BS17A!$V1356</f>
        <v>937020</v>
      </c>
      <c r="F201" s="497"/>
    </row>
    <row r="202" spans="1:6" ht="24.75" customHeight="1" x14ac:dyDescent="0.2">
      <c r="A202" s="691" t="s">
        <v>299</v>
      </c>
      <c r="B202" s="693" t="s">
        <v>300</v>
      </c>
      <c r="C202" s="614">
        <f>[7]BS17A!D1036</f>
        <v>0</v>
      </c>
      <c r="D202" s="505">
        <f>[7]BS17A!U1036</f>
        <v>9390</v>
      </c>
      <c r="E202" s="580">
        <f>[7]BS17A!V1036</f>
        <v>0</v>
      </c>
      <c r="F202" s="497"/>
    </row>
    <row r="203" spans="1:6" ht="24.75" customHeight="1" x14ac:dyDescent="0.2">
      <c r="A203" s="721" t="s">
        <v>301</v>
      </c>
      <c r="B203" s="723" t="s">
        <v>302</v>
      </c>
      <c r="C203" s="719">
        <f>[7]BS17A!D807</f>
        <v>0</v>
      </c>
      <c r="D203" s="505">
        <f>[7]BS17A!U807</f>
        <v>398560</v>
      </c>
      <c r="E203" s="580">
        <f>[7]BS17A!V807</f>
        <v>0</v>
      </c>
      <c r="F203" s="497"/>
    </row>
    <row r="204" spans="1:6" ht="24.75" customHeight="1" x14ac:dyDescent="0.2">
      <c r="A204" s="721" t="s">
        <v>303</v>
      </c>
      <c r="B204" s="723" t="s">
        <v>304</v>
      </c>
      <c r="C204" s="719">
        <f>[7]BS17A!D808</f>
        <v>0</v>
      </c>
      <c r="D204" s="505">
        <f>[7]BS17A!U808</f>
        <v>8946190</v>
      </c>
      <c r="E204" s="580">
        <f>[7]BS17A!V808</f>
        <v>0</v>
      </c>
      <c r="F204" s="497"/>
    </row>
    <row r="205" spans="1:6" ht="24.75" customHeight="1" x14ac:dyDescent="0.2">
      <c r="A205" s="721" t="s">
        <v>305</v>
      </c>
      <c r="B205" s="723" t="s">
        <v>306</v>
      </c>
      <c r="C205" s="719">
        <f>[7]BS17A!D809</f>
        <v>0</v>
      </c>
      <c r="D205" s="505">
        <f>[7]BS17A!U809</f>
        <v>229650</v>
      </c>
      <c r="E205" s="580">
        <f>[7]BS17A!V809</f>
        <v>0</v>
      </c>
      <c r="F205" s="497"/>
    </row>
    <row r="206" spans="1:6" ht="24.75" customHeight="1" x14ac:dyDescent="0.2">
      <c r="A206" s="722" t="s">
        <v>307</v>
      </c>
      <c r="B206" s="724" t="s">
        <v>308</v>
      </c>
      <c r="C206" s="720">
        <f>[7]BS17A!D810</f>
        <v>0</v>
      </c>
      <c r="D206" s="512">
        <f>[7]BS17A!U810</f>
        <v>1047210</v>
      </c>
      <c r="E206" s="585">
        <f>[7]BS17A!V810</f>
        <v>0</v>
      </c>
      <c r="F206" s="497"/>
    </row>
    <row r="207" spans="1:6" ht="17.25" customHeight="1" x14ac:dyDescent="0.2">
      <c r="A207" s="676"/>
      <c r="B207" s="675" t="s">
        <v>309</v>
      </c>
      <c r="C207" s="514">
        <f>SUM(C173:C206)</f>
        <v>819</v>
      </c>
      <c r="D207" s="583"/>
      <c r="E207" s="584">
        <f>SUM(E173:E206)</f>
        <v>14697550</v>
      </c>
      <c r="F207" s="497"/>
    </row>
    <row r="208" spans="1:6" ht="21.75" customHeight="1" x14ac:dyDescent="0.2">
      <c r="A208" s="497"/>
      <c r="B208" s="497"/>
      <c r="C208" s="497"/>
      <c r="D208" s="497"/>
      <c r="E208" s="497"/>
      <c r="F208" s="497"/>
    </row>
    <row r="209" spans="1:6" ht="19.5" customHeight="1" x14ac:dyDescent="0.2">
      <c r="A209" s="497"/>
      <c r="B209" s="497"/>
      <c r="C209" s="497"/>
      <c r="D209" s="497"/>
      <c r="E209" s="497"/>
      <c r="F209" s="497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494"/>
    </row>
    <row r="211" spans="1:6" ht="39.75" customHeight="1" x14ac:dyDescent="0.2">
      <c r="A211" s="499" t="s">
        <v>8</v>
      </c>
      <c r="B211" s="499" t="s">
        <v>9</v>
      </c>
      <c r="C211" s="726" t="s">
        <v>10</v>
      </c>
      <c r="D211" s="545" t="s">
        <v>11</v>
      </c>
      <c r="E211" s="728" t="s">
        <v>12</v>
      </c>
      <c r="F211" s="494"/>
    </row>
    <row r="212" spans="1:6" ht="12.75" customHeight="1" x14ac:dyDescent="0.2">
      <c r="A212" s="668" t="s">
        <v>311</v>
      </c>
      <c r="B212" s="685" t="s">
        <v>312</v>
      </c>
      <c r="C212" s="617">
        <f>+[7]BS17A!$D18</f>
        <v>0</v>
      </c>
      <c r="D212" s="510">
        <f>+[7]BS17A!$U18</f>
        <v>14530</v>
      </c>
      <c r="E212" s="579">
        <f>+[7]BS17A!$V18</f>
        <v>0</v>
      </c>
      <c r="F212" s="497"/>
    </row>
    <row r="213" spans="1:6" ht="12.75" customHeight="1" x14ac:dyDescent="0.2">
      <c r="A213" s="669" t="s">
        <v>313</v>
      </c>
      <c r="B213" s="665" t="s">
        <v>314</v>
      </c>
      <c r="C213" s="614">
        <f>+[7]BS17A!$D19</f>
        <v>69</v>
      </c>
      <c r="D213" s="505">
        <f>+[7]BS17A!$U19</f>
        <v>14530</v>
      </c>
      <c r="E213" s="580">
        <f>+[7]BS17A!$V19</f>
        <v>1002570</v>
      </c>
      <c r="F213" s="497"/>
    </row>
    <row r="214" spans="1:6" ht="12.75" customHeight="1" x14ac:dyDescent="0.2">
      <c r="A214" s="669" t="s">
        <v>315</v>
      </c>
      <c r="B214" s="664" t="s">
        <v>316</v>
      </c>
      <c r="C214" s="614">
        <f>+[7]BS17A!$D47</f>
        <v>0</v>
      </c>
      <c r="D214" s="505">
        <f>+[7]BS17A!$U47</f>
        <v>1390</v>
      </c>
      <c r="E214" s="580">
        <f>+[7]BS17A!$V47</f>
        <v>0</v>
      </c>
      <c r="F214" s="497"/>
    </row>
    <row r="215" spans="1:6" ht="12.75" customHeight="1" x14ac:dyDescent="0.2">
      <c r="A215" s="669" t="s">
        <v>317</v>
      </c>
      <c r="B215" s="664" t="s">
        <v>318</v>
      </c>
      <c r="C215" s="614">
        <f>+[7]BS17A!$D48</f>
        <v>385</v>
      </c>
      <c r="D215" s="505">
        <f>+[7]BS17A!$U48</f>
        <v>680</v>
      </c>
      <c r="E215" s="580">
        <f>+[7]BS17A!$V48</f>
        <v>261800</v>
      </c>
      <c r="F215" s="497"/>
    </row>
    <row r="216" spans="1:6" ht="12.75" customHeight="1" x14ac:dyDescent="0.2">
      <c r="A216" s="669" t="s">
        <v>319</v>
      </c>
      <c r="B216" s="665" t="s">
        <v>320</v>
      </c>
      <c r="C216" s="614">
        <f>+[7]BS17A!$D49</f>
        <v>4226</v>
      </c>
      <c r="D216" s="505">
        <f>+[7]BS17A!$U49</f>
        <v>2060</v>
      </c>
      <c r="E216" s="580">
        <f>+[7]BS17A!$V49</f>
        <v>8705560</v>
      </c>
      <c r="F216" s="497"/>
    </row>
    <row r="217" spans="1:6" ht="12.75" customHeight="1" x14ac:dyDescent="0.2">
      <c r="A217" s="669" t="s">
        <v>321</v>
      </c>
      <c r="B217" s="665" t="s">
        <v>322</v>
      </c>
      <c r="C217" s="614">
        <f>+[7]BS17A!$D50</f>
        <v>66</v>
      </c>
      <c r="D217" s="505">
        <f>+[7]BS17A!$U50</f>
        <v>15480</v>
      </c>
      <c r="E217" s="580">
        <f>+[7]BS17A!$V50</f>
        <v>1021680</v>
      </c>
      <c r="F217" s="497"/>
    </row>
    <row r="218" spans="1:6" ht="12.75" customHeight="1" x14ac:dyDescent="0.2">
      <c r="A218" s="669" t="s">
        <v>323</v>
      </c>
      <c r="B218" s="664" t="s">
        <v>324</v>
      </c>
      <c r="C218" s="614">
        <f>+[7]BS17A!$D51</f>
        <v>103</v>
      </c>
      <c r="D218" s="505">
        <f>+[7]BS17A!$U51</f>
        <v>35550</v>
      </c>
      <c r="E218" s="580">
        <f>+[7]BS17A!$V51</f>
        <v>3661650</v>
      </c>
      <c r="F218" s="497"/>
    </row>
    <row r="219" spans="1:6" ht="12.75" customHeight="1" x14ac:dyDescent="0.2">
      <c r="A219" s="691" t="s">
        <v>325</v>
      </c>
      <c r="B219" s="664" t="s">
        <v>326</v>
      </c>
      <c r="C219" s="614">
        <f>+[7]BS17A!D52</f>
        <v>25</v>
      </c>
      <c r="D219" s="591"/>
      <c r="E219" s="580">
        <f>+[7]BS17A!V52</f>
        <v>221750</v>
      </c>
      <c r="F219" s="497"/>
    </row>
    <row r="220" spans="1:6" ht="12.75" customHeight="1" x14ac:dyDescent="0.2">
      <c r="A220" s="670" t="s">
        <v>327</v>
      </c>
      <c r="B220" s="666" t="s">
        <v>328</v>
      </c>
      <c r="C220" s="629">
        <f>+[7]BS17A!$D1861</f>
        <v>54</v>
      </c>
      <c r="D220" s="512">
        <f>+[7]BS17A!$U1861</f>
        <v>28810</v>
      </c>
      <c r="E220" s="585">
        <f>+[7]BS17A!$V1861</f>
        <v>1555740</v>
      </c>
      <c r="F220" s="497"/>
    </row>
    <row r="221" spans="1:6" ht="12.75" x14ac:dyDescent="0.2">
      <c r="A221" s="676"/>
      <c r="B221" s="675" t="s">
        <v>329</v>
      </c>
      <c r="C221" s="514">
        <f>SUM(C212:C220)</f>
        <v>4928</v>
      </c>
      <c r="D221" s="583"/>
      <c r="E221" s="590">
        <f>SUM(E212:E220)</f>
        <v>16430750</v>
      </c>
      <c r="F221" s="497"/>
    </row>
    <row r="222" spans="1:6" ht="17.25" customHeight="1" x14ac:dyDescent="0.2">
      <c r="A222" s="497"/>
      <c r="B222" s="497"/>
      <c r="C222" s="497"/>
      <c r="D222" s="497"/>
      <c r="E222" s="497"/>
      <c r="F222" s="497"/>
    </row>
    <row r="223" spans="1:6" ht="18" customHeight="1" x14ac:dyDescent="0.2">
      <c r="A223" s="497"/>
      <c r="B223" s="497"/>
      <c r="C223" s="497"/>
      <c r="D223" s="497"/>
      <c r="E223" s="497"/>
      <c r="F223" s="497"/>
    </row>
    <row r="224" spans="1:6" ht="27.75" customHeight="1" x14ac:dyDescent="0.2">
      <c r="A224" s="765" t="s">
        <v>330</v>
      </c>
      <c r="B224" s="766"/>
      <c r="C224" s="767"/>
      <c r="D224" s="497"/>
      <c r="E224" s="497"/>
      <c r="F224" s="494"/>
    </row>
    <row r="225" spans="1:7" ht="42.75" customHeight="1" x14ac:dyDescent="0.2">
      <c r="A225" s="499" t="s">
        <v>8</v>
      </c>
      <c r="B225" s="499" t="s">
        <v>10</v>
      </c>
      <c r="C225" s="499" t="s">
        <v>12</v>
      </c>
      <c r="D225" s="494"/>
      <c r="E225" s="497"/>
      <c r="F225" s="497"/>
    </row>
    <row r="226" spans="1:7" ht="15" customHeight="1" x14ac:dyDescent="0.2">
      <c r="A226" s="668" t="s">
        <v>331</v>
      </c>
      <c r="B226" s="686" t="s">
        <v>332</v>
      </c>
      <c r="C226" s="592"/>
      <c r="D226" s="593"/>
      <c r="E226" s="497"/>
      <c r="F226" s="497"/>
    </row>
    <row r="227" spans="1:7" ht="15" customHeight="1" x14ac:dyDescent="0.2">
      <c r="A227" s="689" t="s">
        <v>333</v>
      </c>
      <c r="B227" s="687" t="s">
        <v>334</v>
      </c>
      <c r="C227" s="594"/>
      <c r="D227" s="593"/>
      <c r="E227" s="497"/>
      <c r="F227" s="497"/>
    </row>
    <row r="228" spans="1:7" ht="18" customHeight="1" x14ac:dyDescent="0.2">
      <c r="A228" s="690"/>
      <c r="B228" s="688" t="s">
        <v>335</v>
      </c>
      <c r="C228" s="650">
        <f>SUM(C226:C227)</f>
        <v>0</v>
      </c>
      <c r="D228" s="593"/>
      <c r="E228" s="497"/>
      <c r="F228" s="497"/>
    </row>
    <row r="229" spans="1:7" ht="18" customHeight="1" x14ac:dyDescent="0.2">
      <c r="A229" s="497"/>
      <c r="B229" s="497"/>
      <c r="C229" s="497"/>
      <c r="D229" s="593"/>
      <c r="E229" s="593"/>
      <c r="F229" s="593"/>
    </row>
    <row r="230" spans="1:7" ht="18" customHeight="1" x14ac:dyDescent="0.2">
      <c r="A230" s="497"/>
      <c r="B230" s="497"/>
      <c r="C230" s="497"/>
      <c r="D230" s="497"/>
      <c r="E230" s="497"/>
      <c r="F230" s="593"/>
      <c r="G230" s="59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593"/>
      <c r="G231" s="595"/>
    </row>
    <row r="232" spans="1:7" ht="56.25" customHeight="1" x14ac:dyDescent="0.2">
      <c r="A232" s="499" t="s">
        <v>8</v>
      </c>
      <c r="B232" s="499" t="s">
        <v>9</v>
      </c>
      <c r="C232" s="726" t="s">
        <v>10</v>
      </c>
      <c r="D232" s="545" t="s">
        <v>11</v>
      </c>
      <c r="E232" s="728" t="s">
        <v>12</v>
      </c>
      <c r="F232" s="593"/>
      <c r="G232" s="595"/>
    </row>
    <row r="233" spans="1:7" ht="15" customHeight="1" x14ac:dyDescent="0.2">
      <c r="A233" s="668" t="s">
        <v>337</v>
      </c>
      <c r="B233" s="685" t="s">
        <v>338</v>
      </c>
      <c r="C233" s="648">
        <f>+[7]BS17A!$D1941</f>
        <v>210</v>
      </c>
      <c r="D233" s="510">
        <f>+[7]BS17A!$U1941</f>
        <v>19890</v>
      </c>
      <c r="E233" s="579">
        <f>+[7]BS17A!$V1941</f>
        <v>4176900</v>
      </c>
      <c r="F233" s="497"/>
    </row>
    <row r="234" spans="1:7" ht="15" customHeight="1" x14ac:dyDescent="0.2">
      <c r="A234" s="670" t="s">
        <v>339</v>
      </c>
      <c r="B234" s="666" t="s">
        <v>340</v>
      </c>
      <c r="C234" s="649">
        <f>+[7]BS17A!$D1942</f>
        <v>0</v>
      </c>
      <c r="D234" s="512">
        <f>+[7]BS17A!$U1942</f>
        <v>249320</v>
      </c>
      <c r="E234" s="585">
        <f>+[7]BS17A!$V1942</f>
        <v>0</v>
      </c>
      <c r="F234" s="497"/>
    </row>
    <row r="235" spans="1:7" ht="18" customHeight="1" x14ac:dyDescent="0.2">
      <c r="A235" s="676"/>
      <c r="B235" s="675" t="s">
        <v>341</v>
      </c>
      <c r="C235" s="514">
        <f>SUM(C233:C234)</f>
        <v>210</v>
      </c>
      <c r="D235" s="583"/>
      <c r="E235" s="584">
        <f>SUM(E233:E234)</f>
        <v>4176900</v>
      </c>
      <c r="F235" s="497"/>
    </row>
    <row r="236" spans="1:7" ht="18" customHeight="1" x14ac:dyDescent="0.2">
      <c r="A236" s="596"/>
      <c r="B236" s="597"/>
      <c r="C236" s="598"/>
      <c r="D236" s="596"/>
      <c r="E236" s="596"/>
      <c r="F236" s="497"/>
    </row>
    <row r="237" spans="1:7" ht="18" customHeight="1" x14ac:dyDescent="0.2">
      <c r="A237" s="596"/>
      <c r="B237" s="597"/>
      <c r="C237" s="598"/>
      <c r="D237" s="596"/>
      <c r="E237" s="596"/>
      <c r="F237" s="497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497"/>
    </row>
    <row r="239" spans="1:7" ht="41.25" customHeight="1" x14ac:dyDescent="0.2">
      <c r="A239" s="499" t="s">
        <v>8</v>
      </c>
      <c r="B239" s="499" t="s">
        <v>9</v>
      </c>
      <c r="C239" s="726" t="s">
        <v>10</v>
      </c>
      <c r="D239" s="545" t="s">
        <v>11</v>
      </c>
      <c r="E239" s="728" t="s">
        <v>12</v>
      </c>
      <c r="F239" s="497"/>
    </row>
    <row r="240" spans="1:7" ht="18" customHeight="1" x14ac:dyDescent="0.2">
      <c r="A240" s="576" t="s">
        <v>343</v>
      </c>
      <c r="B240" s="522" t="s">
        <v>344</v>
      </c>
      <c r="C240" s="599">
        <f>[7]BS17A!D768</f>
        <v>510</v>
      </c>
      <c r="D240" s="600"/>
      <c r="E240" s="601">
        <f>[7]BS17A!V768</f>
        <v>3618190</v>
      </c>
      <c r="F240" s="497"/>
    </row>
    <row r="241" spans="1:6" ht="18" customHeight="1" x14ac:dyDescent="0.2">
      <c r="A241" s="596"/>
      <c r="B241" s="597"/>
      <c r="C241" s="598"/>
      <c r="D241" s="596"/>
      <c r="E241" s="596"/>
      <c r="F241" s="497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497"/>
    </row>
    <row r="243" spans="1:6" ht="43.5" customHeight="1" x14ac:dyDescent="0.2">
      <c r="A243" s="499" t="s">
        <v>8</v>
      </c>
      <c r="B243" s="726" t="s">
        <v>346</v>
      </c>
      <c r="C243" s="544" t="s">
        <v>347</v>
      </c>
      <c r="D243" s="545" t="s">
        <v>11</v>
      </c>
      <c r="E243" s="728" t="s">
        <v>12</v>
      </c>
      <c r="F243" s="497"/>
    </row>
    <row r="244" spans="1:6" ht="15" customHeight="1" x14ac:dyDescent="0.2">
      <c r="A244" s="509" t="s">
        <v>348</v>
      </c>
      <c r="B244" s="631" t="s">
        <v>349</v>
      </c>
      <c r="C244" s="617">
        <f>+[7]BS17A!$D1944</f>
        <v>0</v>
      </c>
      <c r="D244" s="510">
        <f>+[7]BS17A!$U1944</f>
        <v>254650</v>
      </c>
      <c r="E244" s="579">
        <f>+[7]BS17A!$V1944</f>
        <v>0</v>
      </c>
      <c r="F244" s="497"/>
    </row>
    <row r="245" spans="1:6" ht="15" customHeight="1" x14ac:dyDescent="0.2">
      <c r="A245" s="504" t="s">
        <v>350</v>
      </c>
      <c r="B245" s="632" t="s">
        <v>351</v>
      </c>
      <c r="C245" s="614">
        <f>+[7]BS17A!$D1945</f>
        <v>0</v>
      </c>
      <c r="D245" s="505">
        <f>+[7]BS17A!$U1945</f>
        <v>36180</v>
      </c>
      <c r="E245" s="580">
        <f>+[7]BS17A!$V1945</f>
        <v>0</v>
      </c>
      <c r="F245" s="497"/>
    </row>
    <row r="246" spans="1:6" ht="15" customHeight="1" x14ac:dyDescent="0.2">
      <c r="A246" s="504" t="s">
        <v>352</v>
      </c>
      <c r="B246" s="632" t="s">
        <v>353</v>
      </c>
      <c r="C246" s="614">
        <f>+[7]BS17A!$D1946</f>
        <v>0</v>
      </c>
      <c r="D246" s="505">
        <f>+[7]BS17A!$U1946</f>
        <v>136500</v>
      </c>
      <c r="E246" s="580">
        <f>+[7]BS17A!$V1946</f>
        <v>0</v>
      </c>
      <c r="F246" s="497"/>
    </row>
    <row r="247" spans="1:6" ht="15" customHeight="1" x14ac:dyDescent="0.2">
      <c r="A247" s="504" t="s">
        <v>354</v>
      </c>
      <c r="B247" s="632" t="s">
        <v>355</v>
      </c>
      <c r="C247" s="614">
        <f>+[7]BS17A!$D1947</f>
        <v>0</v>
      </c>
      <c r="D247" s="505">
        <f>+[7]BS17A!$U1947</f>
        <v>136500</v>
      </c>
      <c r="E247" s="580">
        <f>+[7]BS17A!$V1947</f>
        <v>0</v>
      </c>
      <c r="F247" s="497"/>
    </row>
    <row r="248" spans="1:6" ht="15" customHeight="1" x14ac:dyDescent="0.2">
      <c r="A248" s="504" t="s">
        <v>356</v>
      </c>
      <c r="B248" s="632" t="s">
        <v>357</v>
      </c>
      <c r="C248" s="614">
        <f>+[7]BS17A!$D1948</f>
        <v>0</v>
      </c>
      <c r="D248" s="505">
        <f>+[7]BS17A!$U1948</f>
        <v>248500</v>
      </c>
      <c r="E248" s="580">
        <f>+[7]BS17A!$V1948</f>
        <v>0</v>
      </c>
      <c r="F248" s="497"/>
    </row>
    <row r="249" spans="1:6" ht="15" customHeight="1" x14ac:dyDescent="0.2">
      <c r="A249" s="504" t="s">
        <v>358</v>
      </c>
      <c r="B249" s="632" t="s">
        <v>359</v>
      </c>
      <c r="C249" s="614">
        <f>+[7]BS17A!$D1949</f>
        <v>0</v>
      </c>
      <c r="D249" s="505">
        <f>+[7]BS17A!$U1949</f>
        <v>381350</v>
      </c>
      <c r="E249" s="580">
        <f>+[7]BS17A!$V1949</f>
        <v>0</v>
      </c>
      <c r="F249" s="497"/>
    </row>
    <row r="250" spans="1:6" ht="15" customHeight="1" x14ac:dyDescent="0.2">
      <c r="A250" s="504" t="s">
        <v>360</v>
      </c>
      <c r="B250" s="632" t="s">
        <v>361</v>
      </c>
      <c r="C250" s="614">
        <f>+[7]BS17A!$D1950</f>
        <v>0</v>
      </c>
      <c r="D250" s="505">
        <f>+[7]BS17A!$U1950</f>
        <v>650560</v>
      </c>
      <c r="E250" s="580">
        <f>+[7]BS17A!$V1950</f>
        <v>0</v>
      </c>
      <c r="F250" s="497"/>
    </row>
    <row r="251" spans="1:6" ht="15" customHeight="1" x14ac:dyDescent="0.2">
      <c r="A251" s="527" t="s">
        <v>362</v>
      </c>
      <c r="B251" s="632" t="s">
        <v>363</v>
      </c>
      <c r="C251" s="614">
        <f>+[7]BS17A!$D1951</f>
        <v>0</v>
      </c>
      <c r="D251" s="505">
        <f>+[7]BS17A!$U1951</f>
        <v>135500</v>
      </c>
      <c r="E251" s="580">
        <f>+[7]BS17A!$V1951</f>
        <v>0</v>
      </c>
      <c r="F251" s="497"/>
    </row>
    <row r="252" spans="1:6" ht="15" customHeight="1" x14ac:dyDescent="0.2">
      <c r="A252" s="527" t="s">
        <v>364</v>
      </c>
      <c r="B252" s="632" t="s">
        <v>365</v>
      </c>
      <c r="C252" s="614">
        <f>+[7]BS17A!$D1952</f>
        <v>0</v>
      </c>
      <c r="D252" s="505">
        <f>+[7]BS17A!$U1952</f>
        <v>365200</v>
      </c>
      <c r="E252" s="580">
        <f>+[7]BS17A!$V1952</f>
        <v>0</v>
      </c>
      <c r="F252" s="497"/>
    </row>
    <row r="253" spans="1:6" ht="15" customHeight="1" x14ac:dyDescent="0.2">
      <c r="A253" s="527" t="s">
        <v>366</v>
      </c>
      <c r="B253" s="632" t="s">
        <v>367</v>
      </c>
      <c r="C253" s="644">
        <f>+[7]BS17A!$D1953</f>
        <v>0</v>
      </c>
      <c r="D253" s="507">
        <f>+[7]BS17A!$U1953</f>
        <v>153770</v>
      </c>
      <c r="E253" s="602">
        <f>+[7]BS17A!$V1953</f>
        <v>0</v>
      </c>
      <c r="F253" s="497"/>
    </row>
    <row r="254" spans="1:6" ht="15" customHeight="1" x14ac:dyDescent="0.2">
      <c r="A254" s="527" t="s">
        <v>368</v>
      </c>
      <c r="B254" s="632" t="s">
        <v>369</v>
      </c>
      <c r="C254" s="644">
        <f>+[7]BS17A!$D1954</f>
        <v>0</v>
      </c>
      <c r="D254" s="507">
        <f>+[7]BS17A!$U1954</f>
        <v>133620</v>
      </c>
      <c r="E254" s="602">
        <f>+[7]BS17A!$V1954</f>
        <v>0</v>
      </c>
      <c r="F254" s="497"/>
    </row>
    <row r="255" spans="1:6" ht="15" customHeight="1" x14ac:dyDescent="0.2">
      <c r="A255" s="527" t="s">
        <v>370</v>
      </c>
      <c r="B255" s="632" t="s">
        <v>371</v>
      </c>
      <c r="C255" s="644">
        <f>+[7]BS17A!$D1955</f>
        <v>0</v>
      </c>
      <c r="D255" s="507">
        <f>+[7]BS17A!$U1955</f>
        <v>203150</v>
      </c>
      <c r="E255" s="602">
        <f>+[7]BS17A!$V1955</f>
        <v>0</v>
      </c>
      <c r="F255" s="497"/>
    </row>
    <row r="256" spans="1:6" ht="15" customHeight="1" x14ac:dyDescent="0.2">
      <c r="A256" s="527" t="s">
        <v>372</v>
      </c>
      <c r="B256" s="632" t="s">
        <v>373</v>
      </c>
      <c r="C256" s="644">
        <f>+[7]BS17A!$D1956</f>
        <v>0</v>
      </c>
      <c r="D256" s="507">
        <f>+[7]BS17A!$U1956</f>
        <v>53460</v>
      </c>
      <c r="E256" s="602">
        <f>+[7]BS17A!$V1956</f>
        <v>0</v>
      </c>
      <c r="F256" s="497"/>
    </row>
    <row r="257" spans="1:6" ht="15" customHeight="1" x14ac:dyDescent="0.2">
      <c r="A257" s="562" t="s">
        <v>374</v>
      </c>
      <c r="B257" s="643" t="s">
        <v>375</v>
      </c>
      <c r="C257" s="629">
        <f>+[7]BS17A!$D1957</f>
        <v>0</v>
      </c>
      <c r="D257" s="512">
        <f>+[7]BS17A!$U1957</f>
        <v>39950</v>
      </c>
      <c r="E257" s="585">
        <f>+[7]BS17A!$V1957</f>
        <v>0</v>
      </c>
      <c r="F257" s="497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497"/>
    </row>
    <row r="259" spans="1:6" ht="15" customHeight="1" x14ac:dyDescent="0.2">
      <c r="A259" s="668" t="s">
        <v>377</v>
      </c>
      <c r="B259" s="682" t="s">
        <v>349</v>
      </c>
      <c r="C259" s="617">
        <f>+[7]BS17A!$D1958</f>
        <v>0</v>
      </c>
      <c r="D259" s="510">
        <f>+[7]BS17A!$U1958</f>
        <v>219080</v>
      </c>
      <c r="E259" s="579">
        <f>+[7]BS17A!$V1958</f>
        <v>0</v>
      </c>
      <c r="F259" s="497"/>
    </row>
    <row r="260" spans="1:6" ht="15" customHeight="1" x14ac:dyDescent="0.2">
      <c r="A260" s="669" t="s">
        <v>378</v>
      </c>
      <c r="B260" s="683" t="s">
        <v>379</v>
      </c>
      <c r="C260" s="614">
        <f>+[7]BS17A!$D1959</f>
        <v>0</v>
      </c>
      <c r="D260" s="505">
        <f>+[7]BS17A!$U1959</f>
        <v>1303250</v>
      </c>
      <c r="E260" s="580">
        <f>+[7]BS17A!$V1959</f>
        <v>0</v>
      </c>
      <c r="F260" s="497"/>
    </row>
    <row r="261" spans="1:6" ht="15" customHeight="1" x14ac:dyDescent="0.2">
      <c r="A261" s="669" t="s">
        <v>380</v>
      </c>
      <c r="B261" s="683" t="s">
        <v>381</v>
      </c>
      <c r="C261" s="614">
        <f>+[7]BS17A!$D1960</f>
        <v>0</v>
      </c>
      <c r="D261" s="505">
        <f>+[7]BS17A!$U1960</f>
        <v>196630</v>
      </c>
      <c r="E261" s="580">
        <f>+[7]BS17A!$V1960</f>
        <v>0</v>
      </c>
      <c r="F261" s="497"/>
    </row>
    <row r="262" spans="1:6" ht="15" customHeight="1" x14ac:dyDescent="0.2">
      <c r="A262" s="669" t="s">
        <v>382</v>
      </c>
      <c r="B262" s="683" t="s">
        <v>383</v>
      </c>
      <c r="C262" s="614">
        <f>+[7]BS17A!$D1961</f>
        <v>0</v>
      </c>
      <c r="D262" s="505">
        <f>+[7]BS17A!$U1961</f>
        <v>173880</v>
      </c>
      <c r="E262" s="580">
        <f>+[7]BS17A!$V1961</f>
        <v>0</v>
      </c>
      <c r="F262" s="497"/>
    </row>
    <row r="263" spans="1:6" ht="15" customHeight="1" x14ac:dyDescent="0.2">
      <c r="A263" s="669" t="s">
        <v>384</v>
      </c>
      <c r="B263" s="683" t="s">
        <v>385</v>
      </c>
      <c r="C263" s="614">
        <f>+[7]BS17A!$D1962</f>
        <v>0</v>
      </c>
      <c r="D263" s="505">
        <f>+[7]BS17A!$U1962</f>
        <v>352980</v>
      </c>
      <c r="E263" s="580">
        <f>+[7]BS17A!$V1962</f>
        <v>0</v>
      </c>
      <c r="F263" s="497"/>
    </row>
    <row r="264" spans="1:6" ht="15" customHeight="1" x14ac:dyDescent="0.2">
      <c r="A264" s="669" t="s">
        <v>386</v>
      </c>
      <c r="B264" s="683" t="s">
        <v>387</v>
      </c>
      <c r="C264" s="614">
        <f>+[7]BS17A!$D1963</f>
        <v>0</v>
      </c>
      <c r="D264" s="505">
        <f>+[7]BS17A!$U1963</f>
        <v>1173780</v>
      </c>
      <c r="E264" s="580">
        <f>+[7]BS17A!$V1963</f>
        <v>0</v>
      </c>
      <c r="F264" s="497"/>
    </row>
    <row r="265" spans="1:6" ht="15" customHeight="1" x14ac:dyDescent="0.2">
      <c r="A265" s="669" t="s">
        <v>388</v>
      </c>
      <c r="B265" s="683" t="s">
        <v>389</v>
      </c>
      <c r="C265" s="614">
        <f>+[7]BS17A!$D1964</f>
        <v>0</v>
      </c>
      <c r="D265" s="505">
        <f>+[7]BS17A!$U1964</f>
        <v>1206250</v>
      </c>
      <c r="E265" s="580">
        <f>+[7]BS17A!$V1964</f>
        <v>0</v>
      </c>
      <c r="F265" s="497"/>
    </row>
    <row r="266" spans="1:6" ht="15" customHeight="1" x14ac:dyDescent="0.2">
      <c r="A266" s="669" t="s">
        <v>390</v>
      </c>
      <c r="B266" s="683" t="s">
        <v>391</v>
      </c>
      <c r="C266" s="614">
        <f>+[7]BS17A!$D1965</f>
        <v>0</v>
      </c>
      <c r="D266" s="505">
        <f>+[7]BS17A!$U1965</f>
        <v>955090</v>
      </c>
      <c r="E266" s="580">
        <f>+[7]BS17A!$V1965</f>
        <v>0</v>
      </c>
      <c r="F266" s="497"/>
    </row>
    <row r="267" spans="1:6" ht="15" customHeight="1" x14ac:dyDescent="0.2">
      <c r="A267" s="669" t="s">
        <v>392</v>
      </c>
      <c r="B267" s="683" t="s">
        <v>393</v>
      </c>
      <c r="C267" s="614">
        <f>+[7]BS17A!$D1966</f>
        <v>0</v>
      </c>
      <c r="D267" s="505">
        <f>+[7]BS17A!$U1966</f>
        <v>1006570</v>
      </c>
      <c r="E267" s="580">
        <f>+[7]BS17A!$V1966</f>
        <v>0</v>
      </c>
      <c r="F267" s="497"/>
    </row>
    <row r="268" spans="1:6" ht="15" customHeight="1" x14ac:dyDescent="0.2">
      <c r="A268" s="669" t="s">
        <v>394</v>
      </c>
      <c r="B268" s="683" t="s">
        <v>395</v>
      </c>
      <c r="C268" s="614">
        <f>+[7]BS17A!$D1967</f>
        <v>0</v>
      </c>
      <c r="D268" s="505">
        <f>+[7]BS17A!$U1967</f>
        <v>397090</v>
      </c>
      <c r="E268" s="580">
        <f>+[7]BS17A!$V1967</f>
        <v>0</v>
      </c>
      <c r="F268" s="497"/>
    </row>
    <row r="269" spans="1:6" ht="15" customHeight="1" x14ac:dyDescent="0.2">
      <c r="A269" s="669" t="s">
        <v>396</v>
      </c>
      <c r="B269" s="683" t="s">
        <v>397</v>
      </c>
      <c r="C269" s="614">
        <f>+[7]BS17A!$D1968</f>
        <v>0</v>
      </c>
      <c r="D269" s="505">
        <f>+[7]BS17A!$U1968</f>
        <v>95100</v>
      </c>
      <c r="E269" s="580">
        <f>+[7]BS17A!$V1968</f>
        <v>0</v>
      </c>
      <c r="F269" s="497"/>
    </row>
    <row r="270" spans="1:6" ht="15" customHeight="1" x14ac:dyDescent="0.2">
      <c r="A270" s="669" t="s">
        <v>398</v>
      </c>
      <c r="B270" s="683" t="s">
        <v>399</v>
      </c>
      <c r="C270" s="614">
        <f>+[7]BS17A!$D1969</f>
        <v>0</v>
      </c>
      <c r="D270" s="505">
        <f>+[7]BS17A!$U1969</f>
        <v>283710</v>
      </c>
      <c r="E270" s="580">
        <f>+[7]BS17A!$V1969</f>
        <v>0</v>
      </c>
      <c r="F270" s="497"/>
    </row>
    <row r="271" spans="1:6" ht="15" customHeight="1" x14ac:dyDescent="0.2">
      <c r="A271" s="669" t="s">
        <v>400</v>
      </c>
      <c r="B271" s="665" t="s">
        <v>401</v>
      </c>
      <c r="C271" s="614">
        <f>+[7]BS17A!$D1970</f>
        <v>0</v>
      </c>
      <c r="D271" s="505">
        <f>+[7]BS17A!$U1970</f>
        <v>80220</v>
      </c>
      <c r="E271" s="580">
        <f>+[7]BS17A!$V1970</f>
        <v>0</v>
      </c>
      <c r="F271" s="497"/>
    </row>
    <row r="272" spans="1:6" ht="15" customHeight="1" x14ac:dyDescent="0.2">
      <c r="A272" s="669" t="s">
        <v>402</v>
      </c>
      <c r="B272" s="665" t="s">
        <v>403</v>
      </c>
      <c r="C272" s="614">
        <f>+[7]BS17A!$D1971</f>
        <v>0</v>
      </c>
      <c r="D272" s="505">
        <f>+[7]BS17A!$U1971</f>
        <v>1378400</v>
      </c>
      <c r="E272" s="580">
        <f>+[7]BS17A!$V1971</f>
        <v>0</v>
      </c>
      <c r="F272" s="497"/>
    </row>
    <row r="273" spans="1:10" ht="15" customHeight="1" x14ac:dyDescent="0.2">
      <c r="A273" s="669" t="s">
        <v>404</v>
      </c>
      <c r="B273" s="665" t="s">
        <v>405</v>
      </c>
      <c r="C273" s="614">
        <f>+[7]BS17A!$D1972</f>
        <v>0</v>
      </c>
      <c r="D273" s="505">
        <f>+[7]BS17A!$U1972</f>
        <v>322300</v>
      </c>
      <c r="E273" s="580">
        <f>+[7]BS17A!$V1972</f>
        <v>0</v>
      </c>
      <c r="F273" s="497"/>
    </row>
    <row r="274" spans="1:10" ht="15" customHeight="1" x14ac:dyDescent="0.2">
      <c r="A274" s="669" t="s">
        <v>406</v>
      </c>
      <c r="B274" s="665" t="s">
        <v>407</v>
      </c>
      <c r="C274" s="614">
        <f>+[7]BS17A!$D1973</f>
        <v>0</v>
      </c>
      <c r="D274" s="505">
        <f>+[7]BS17A!$U1973</f>
        <v>1079720</v>
      </c>
      <c r="E274" s="580">
        <f>+[7]BS17A!$V1973</f>
        <v>0</v>
      </c>
      <c r="F274" s="497"/>
    </row>
    <row r="275" spans="1:10" ht="15" customHeight="1" x14ac:dyDescent="0.2">
      <c r="A275" s="669" t="s">
        <v>408</v>
      </c>
      <c r="B275" s="684" t="s">
        <v>409</v>
      </c>
      <c r="C275" s="614">
        <f>+[7]BS17A!$D1974</f>
        <v>0</v>
      </c>
      <c r="D275" s="505">
        <f>+[7]BS17A!$U1974</f>
        <v>661000</v>
      </c>
      <c r="E275" s="580">
        <f>+[7]BS17A!$V1974</f>
        <v>0</v>
      </c>
      <c r="F275" s="497"/>
    </row>
    <row r="276" spans="1:10" ht="15" customHeight="1" x14ac:dyDescent="0.2">
      <c r="A276" s="670" t="s">
        <v>410</v>
      </c>
      <c r="B276" s="684" t="s">
        <v>411</v>
      </c>
      <c r="C276" s="629">
        <f>+[7]BS17A!$D1975</f>
        <v>0</v>
      </c>
      <c r="D276" s="507">
        <f>+[7]BS17A!$U1975</f>
        <v>539420</v>
      </c>
      <c r="E276" s="602">
        <f>+[7]BS17A!$V1975</f>
        <v>0</v>
      </c>
      <c r="F276" s="497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497"/>
    </row>
    <row r="278" spans="1:10" ht="15" customHeight="1" x14ac:dyDescent="0.2">
      <c r="A278" s="668" t="s">
        <v>413</v>
      </c>
      <c r="B278" s="677" t="s">
        <v>414</v>
      </c>
      <c r="C278" s="646">
        <f>+[7]BS17A!$D1976</f>
        <v>0</v>
      </c>
      <c r="D278" s="502">
        <f>[7]BS17A!U1976</f>
        <v>290780</v>
      </c>
      <c r="E278" s="603">
        <f>+[7]BS17A!$V1976</f>
        <v>0</v>
      </c>
      <c r="F278" s="497"/>
    </row>
    <row r="279" spans="1:10" ht="15" customHeight="1" x14ac:dyDescent="0.2">
      <c r="A279" s="669" t="s">
        <v>415</v>
      </c>
      <c r="B279" s="665" t="s">
        <v>416</v>
      </c>
      <c r="C279" s="614">
        <f>+[7]BS17A!$D1977</f>
        <v>0</v>
      </c>
      <c r="D279" s="505">
        <f>[7]BS17A!U1977</f>
        <v>169530</v>
      </c>
      <c r="E279" s="580">
        <f>+[7]BS17A!$V1977</f>
        <v>0</v>
      </c>
      <c r="F279" s="497"/>
    </row>
    <row r="280" spans="1:10" ht="15" customHeight="1" x14ac:dyDescent="0.2">
      <c r="A280" s="669" t="s">
        <v>417</v>
      </c>
      <c r="B280" s="665" t="s">
        <v>418</v>
      </c>
      <c r="C280" s="614">
        <f>+[7]BS17A!$D1978</f>
        <v>0</v>
      </c>
      <c r="D280" s="505">
        <f>[7]BS17A!U1978</f>
        <v>409630</v>
      </c>
      <c r="E280" s="580">
        <f>+[7]BS17A!$V1978</f>
        <v>0</v>
      </c>
      <c r="F280" s="497"/>
    </row>
    <row r="281" spans="1:10" ht="15" customHeight="1" x14ac:dyDescent="0.2">
      <c r="A281" s="669" t="s">
        <v>419</v>
      </c>
      <c r="B281" s="665" t="s">
        <v>420</v>
      </c>
      <c r="C281" s="614">
        <f>+[7]BS17A!$D1979</f>
        <v>0</v>
      </c>
      <c r="D281" s="505">
        <f>[7]BS17A!U1979</f>
        <v>424500</v>
      </c>
      <c r="E281" s="580">
        <f>+[7]BS17A!$V1979</f>
        <v>0</v>
      </c>
      <c r="F281" s="497"/>
    </row>
    <row r="282" spans="1:10" ht="15" customHeight="1" x14ac:dyDescent="0.2">
      <c r="A282" s="670" t="s">
        <v>421</v>
      </c>
      <c r="B282" s="678" t="s">
        <v>422</v>
      </c>
      <c r="C282" s="629">
        <f>+[7]BS17A!$D1980</f>
        <v>0</v>
      </c>
      <c r="D282" s="512">
        <f>[7]BS17A!U1980</f>
        <v>265260</v>
      </c>
      <c r="E282" s="585">
        <f>+[7]BS17A!$V1980</f>
        <v>0</v>
      </c>
      <c r="F282" s="604"/>
    </row>
    <row r="283" spans="1:10" ht="15" customHeight="1" x14ac:dyDescent="0.2">
      <c r="A283" s="681" t="s">
        <v>423</v>
      </c>
      <c r="B283" s="679" t="s">
        <v>424</v>
      </c>
      <c r="C283" s="647">
        <f>+[7]BS17A!$D1981</f>
        <v>103</v>
      </c>
      <c r="D283" s="605">
        <f>[7]BS17A!U1981</f>
        <v>36070</v>
      </c>
      <c r="E283" s="601">
        <f>+[7]BS17A!$V1981</f>
        <v>3715210</v>
      </c>
      <c r="F283" s="604"/>
    </row>
    <row r="284" spans="1:10" ht="15" customHeight="1" x14ac:dyDescent="0.2">
      <c r="A284" s="676"/>
      <c r="B284" s="680" t="s">
        <v>425</v>
      </c>
      <c r="C284" s="514">
        <f>SUM(C244:C283)</f>
        <v>103</v>
      </c>
      <c r="D284" s="583"/>
      <c r="E284" s="584">
        <f>SUM(E244:E283)</f>
        <v>3715210</v>
      </c>
      <c r="F284" s="604"/>
    </row>
    <row r="285" spans="1:10" ht="18" customHeight="1" x14ac:dyDescent="0.2">
      <c r="A285" s="596"/>
      <c r="B285" s="497"/>
      <c r="C285" s="497"/>
      <c r="D285" s="596"/>
      <c r="E285" s="596"/>
      <c r="F285" s="497"/>
    </row>
    <row r="286" spans="1:10" ht="18" customHeight="1" x14ac:dyDescent="0.2">
      <c r="A286" s="596"/>
      <c r="B286" s="598"/>
      <c r="C286" s="598"/>
      <c r="D286" s="596"/>
      <c r="E286" s="596"/>
      <c r="F286" s="606"/>
      <c r="G286" s="607"/>
      <c r="J286" s="608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497"/>
    </row>
    <row r="288" spans="1:10" ht="44.25" customHeight="1" x14ac:dyDescent="0.2">
      <c r="A288" s="499" t="s">
        <v>8</v>
      </c>
      <c r="B288" s="499" t="s">
        <v>426</v>
      </c>
      <c r="C288" s="726" t="s">
        <v>347</v>
      </c>
      <c r="D288" s="545" t="s">
        <v>11</v>
      </c>
      <c r="E288" s="728" t="s">
        <v>12</v>
      </c>
      <c r="F288" s="604"/>
    </row>
    <row r="289" spans="1:7" ht="15" customHeight="1" x14ac:dyDescent="0.2">
      <c r="A289" s="668" t="s">
        <v>427</v>
      </c>
      <c r="B289" s="672" t="s">
        <v>428</v>
      </c>
      <c r="C289" s="617">
        <f>+[7]BS17A!$D1983</f>
        <v>4</v>
      </c>
      <c r="D289" s="510">
        <f>+[7]BS17A!$U1983</f>
        <v>7100</v>
      </c>
      <c r="E289" s="579">
        <f>+[7]BS17A!$V1983</f>
        <v>28400</v>
      </c>
      <c r="F289" s="497"/>
    </row>
    <row r="290" spans="1:7" ht="15" customHeight="1" x14ac:dyDescent="0.2">
      <c r="A290" s="669" t="s">
        <v>429</v>
      </c>
      <c r="B290" s="673" t="s">
        <v>430</v>
      </c>
      <c r="C290" s="614">
        <f>+[7]BS17A!$D1984</f>
        <v>0</v>
      </c>
      <c r="D290" s="505">
        <f>+[7]BS17A!$U1984</f>
        <v>3780</v>
      </c>
      <c r="E290" s="580">
        <f>+[7]BS17A!$V1984</f>
        <v>0</v>
      </c>
      <c r="F290" s="497"/>
    </row>
    <row r="291" spans="1:7" ht="15" customHeight="1" x14ac:dyDescent="0.2">
      <c r="A291" s="669" t="s">
        <v>431</v>
      </c>
      <c r="B291" s="673" t="s">
        <v>432</v>
      </c>
      <c r="C291" s="614">
        <f>+[7]BS17A!$D1985</f>
        <v>1</v>
      </c>
      <c r="D291" s="505">
        <f>+[7]BS17A!$U1985</f>
        <v>14240</v>
      </c>
      <c r="E291" s="580">
        <f>+[7]BS17A!$V1985</f>
        <v>14240</v>
      </c>
      <c r="F291" s="497"/>
    </row>
    <row r="292" spans="1:7" ht="15" customHeight="1" x14ac:dyDescent="0.2">
      <c r="A292" s="669" t="s">
        <v>433</v>
      </c>
      <c r="B292" s="673" t="s">
        <v>434</v>
      </c>
      <c r="C292" s="614">
        <f>+[7]BS17A!$D1986</f>
        <v>0</v>
      </c>
      <c r="D292" s="505">
        <f>+[7]BS17A!$U1986</f>
        <v>146040</v>
      </c>
      <c r="E292" s="580">
        <f>+[7]BS17A!$V1986</f>
        <v>0</v>
      </c>
      <c r="F292" s="497"/>
    </row>
    <row r="293" spans="1:7" ht="15" customHeight="1" x14ac:dyDescent="0.2">
      <c r="A293" s="670" t="s">
        <v>435</v>
      </c>
      <c r="B293" s="674" t="s">
        <v>436</v>
      </c>
      <c r="C293" s="629">
        <f>+[7]BS17A!$D1987</f>
        <v>0</v>
      </c>
      <c r="D293" s="512">
        <f>+[7]BS17A!$U1987</f>
        <v>802130</v>
      </c>
      <c r="E293" s="585">
        <f>+[7]BS17A!$V1987</f>
        <v>0</v>
      </c>
      <c r="F293" s="497"/>
    </row>
    <row r="294" spans="1:7" ht="15" customHeight="1" x14ac:dyDescent="0.2">
      <c r="A294" s="676"/>
      <c r="B294" s="675" t="s">
        <v>437</v>
      </c>
      <c r="C294" s="551">
        <f>SUM(C289:C293)</f>
        <v>5</v>
      </c>
      <c r="D294" s="523"/>
      <c r="E294" s="552">
        <f>SUM(E289:E293)</f>
        <v>42640</v>
      </c>
      <c r="F294" s="497"/>
    </row>
    <row r="295" spans="1:7" ht="18" customHeight="1" x14ac:dyDescent="0.2">
      <c r="A295" s="596"/>
      <c r="B295" s="598"/>
      <c r="C295" s="596"/>
      <c r="D295" s="596"/>
      <c r="E295" s="596"/>
      <c r="F295" s="497"/>
    </row>
    <row r="296" spans="1:7" ht="18" customHeight="1" x14ac:dyDescent="0.2">
      <c r="A296" s="596"/>
      <c r="B296" s="598"/>
      <c r="C296" s="596"/>
      <c r="D296" s="596"/>
      <c r="E296" s="596"/>
      <c r="F296" s="609"/>
      <c r="G296" s="498"/>
    </row>
    <row r="297" spans="1:7" ht="12.75" x14ac:dyDescent="0.2">
      <c r="A297" s="756" t="s">
        <v>438</v>
      </c>
      <c r="B297" s="757"/>
      <c r="C297" s="757"/>
      <c r="D297" s="757"/>
      <c r="E297" s="758"/>
      <c r="F297" s="610"/>
      <c r="G297" s="498"/>
    </row>
    <row r="298" spans="1:7" ht="42.75" customHeight="1" x14ac:dyDescent="0.2">
      <c r="A298" s="499" t="s">
        <v>8</v>
      </c>
      <c r="B298" s="641" t="s">
        <v>438</v>
      </c>
      <c r="C298" s="642" t="s">
        <v>439</v>
      </c>
      <c r="D298" s="545" t="s">
        <v>11</v>
      </c>
      <c r="E298" s="728" t="s">
        <v>12</v>
      </c>
      <c r="F298" s="610"/>
      <c r="G298" s="498"/>
    </row>
    <row r="299" spans="1:7" ht="15" customHeight="1" x14ac:dyDescent="0.2">
      <c r="A299" s="668" t="s">
        <v>440</v>
      </c>
      <c r="B299" s="663" t="s">
        <v>441</v>
      </c>
      <c r="C299" s="617">
        <f>+[7]BS17A!$D1863</f>
        <v>195</v>
      </c>
      <c r="D299" s="510">
        <f>+[7]BS17A!$U1863</f>
        <v>18980</v>
      </c>
      <c r="E299" s="579">
        <f>+[7]BS17A!$V1863</f>
        <v>3701100</v>
      </c>
      <c r="F299" s="497"/>
    </row>
    <row r="300" spans="1:7" ht="15" customHeight="1" x14ac:dyDescent="0.2">
      <c r="A300" s="669" t="s">
        <v>442</v>
      </c>
      <c r="B300" s="664" t="s">
        <v>443</v>
      </c>
      <c r="C300" s="614">
        <f>+[7]BS17A!$D1864</f>
        <v>182</v>
      </c>
      <c r="D300" s="505">
        <f>+[7]BS17A!$U1864</f>
        <v>59710</v>
      </c>
      <c r="E300" s="580">
        <f>+[7]BS17A!$V1864</f>
        <v>10867220</v>
      </c>
      <c r="F300" s="497"/>
    </row>
    <row r="301" spans="1:7" ht="15" customHeight="1" x14ac:dyDescent="0.2">
      <c r="A301" s="669" t="s">
        <v>444</v>
      </c>
      <c r="B301" s="664" t="s">
        <v>445</v>
      </c>
      <c r="C301" s="614">
        <f>+[7]BS17A!$D1865</f>
        <v>0</v>
      </c>
      <c r="D301" s="505">
        <f>+[7]BS17A!$U1865</f>
        <v>74020</v>
      </c>
      <c r="E301" s="580">
        <f>+[7]BS17A!$V1865</f>
        <v>0</v>
      </c>
      <c r="F301" s="497"/>
    </row>
    <row r="302" spans="1:7" ht="15" customHeight="1" x14ac:dyDescent="0.2">
      <c r="A302" s="669" t="s">
        <v>446</v>
      </c>
      <c r="B302" s="664" t="s">
        <v>447</v>
      </c>
      <c r="C302" s="614">
        <f>+[7]BS17A!$D1866</f>
        <v>176</v>
      </c>
      <c r="D302" s="505">
        <f>+[7]BS17A!$U1866</f>
        <v>2600</v>
      </c>
      <c r="E302" s="580">
        <f>+[7]BS17A!$V1866</f>
        <v>457600</v>
      </c>
      <c r="F302" s="497"/>
    </row>
    <row r="303" spans="1:7" ht="15" customHeight="1" x14ac:dyDescent="0.2">
      <c r="A303" s="669" t="s">
        <v>448</v>
      </c>
      <c r="B303" s="664" t="s">
        <v>449</v>
      </c>
      <c r="C303" s="614">
        <f>+[7]BS17A!$D1867</f>
        <v>0</v>
      </c>
      <c r="D303" s="505">
        <f>+[7]BS17A!$U1867</f>
        <v>70</v>
      </c>
      <c r="E303" s="580">
        <f>+[7]BS17A!$V1867</f>
        <v>0</v>
      </c>
      <c r="F303" s="497"/>
    </row>
    <row r="304" spans="1:7" ht="15" customHeight="1" x14ac:dyDescent="0.2">
      <c r="A304" s="669" t="s">
        <v>450</v>
      </c>
      <c r="B304" s="665" t="s">
        <v>451</v>
      </c>
      <c r="C304" s="614">
        <f>+[7]BS17A!$D1868</f>
        <v>0</v>
      </c>
      <c r="D304" s="505">
        <f>+[7]BS17A!$U1868</f>
        <v>157140</v>
      </c>
      <c r="E304" s="580">
        <f>+[7]BS17A!$V1868</f>
        <v>0</v>
      </c>
      <c r="F304" s="497"/>
    </row>
    <row r="305" spans="1:7" ht="15" customHeight="1" x14ac:dyDescent="0.2">
      <c r="A305" s="670" t="s">
        <v>452</v>
      </c>
      <c r="B305" s="666" t="s">
        <v>453</v>
      </c>
      <c r="C305" s="629">
        <f>+[7]BS17A!$D1869</f>
        <v>0</v>
      </c>
      <c r="D305" s="512">
        <f>+[7]BS17A!$U1869</f>
        <v>10680</v>
      </c>
      <c r="E305" s="585">
        <f>+[7]BS17A!$V1869</f>
        <v>0</v>
      </c>
      <c r="F305" s="497"/>
    </row>
    <row r="306" spans="1:7" ht="15" customHeight="1" x14ac:dyDescent="0.2">
      <c r="A306" s="671"/>
      <c r="B306" s="771" t="s">
        <v>454</v>
      </c>
      <c r="C306" s="772"/>
      <c r="D306" s="600"/>
      <c r="E306" s="611">
        <f>SUM(E299:E305)</f>
        <v>15025920</v>
      </c>
      <c r="F306" s="497"/>
    </row>
    <row r="307" spans="1:7" ht="12.75" x14ac:dyDescent="0.2">
      <c r="A307" s="497"/>
      <c r="B307" s="497"/>
      <c r="C307" s="497"/>
      <c r="D307" s="497"/>
      <c r="E307" s="497"/>
      <c r="F307" s="593"/>
      <c r="G307" s="595"/>
    </row>
    <row r="308" spans="1:7" ht="12.75" x14ac:dyDescent="0.2">
      <c r="A308" s="497"/>
      <c r="B308" s="497"/>
      <c r="C308" s="497"/>
      <c r="D308" s="497"/>
      <c r="E308" s="497"/>
      <c r="F308" s="593"/>
      <c r="G308" s="595"/>
    </row>
    <row r="309" spans="1:7" ht="12.75" x14ac:dyDescent="0.2">
      <c r="A309" s="745" t="s">
        <v>455</v>
      </c>
      <c r="B309" s="746"/>
      <c r="C309" s="746"/>
      <c r="D309" s="746"/>
      <c r="E309" s="747"/>
      <c r="F309" s="593"/>
      <c r="G309" s="595"/>
    </row>
    <row r="310" spans="1:7" ht="12.75" x14ac:dyDescent="0.2">
      <c r="A310" s="542"/>
      <c r="B310" s="768" t="s">
        <v>456</v>
      </c>
      <c r="C310" s="769"/>
      <c r="D310" s="770"/>
      <c r="E310" s="612">
        <f>+E235+E240+E284+E294+E306</f>
        <v>26578860</v>
      </c>
      <c r="F310" s="497"/>
    </row>
    <row r="311" spans="1:7" ht="12.75" x14ac:dyDescent="0.2">
      <c r="A311" s="497"/>
      <c r="B311" s="497"/>
      <c r="C311" s="497"/>
      <c r="D311" s="497"/>
      <c r="E311" s="497"/>
      <c r="F311" s="593"/>
      <c r="G311" s="595"/>
    </row>
    <row r="312" spans="1:7" ht="12.75" x14ac:dyDescent="0.2">
      <c r="A312" s="497"/>
      <c r="B312" s="497"/>
      <c r="C312" s="497"/>
      <c r="D312" s="497"/>
      <c r="E312" s="497"/>
      <c r="F312" s="593"/>
      <c r="G312" s="595"/>
    </row>
    <row r="313" spans="1:7" ht="12.75" x14ac:dyDescent="0.2">
      <c r="A313" s="745" t="s">
        <v>457</v>
      </c>
      <c r="B313" s="746"/>
      <c r="C313" s="746"/>
      <c r="D313" s="746"/>
      <c r="E313" s="747"/>
      <c r="F313" s="593"/>
      <c r="G313" s="595"/>
    </row>
    <row r="314" spans="1:7" ht="25.5" x14ac:dyDescent="0.2">
      <c r="A314" s="756" t="s">
        <v>458</v>
      </c>
      <c r="B314" s="757"/>
      <c r="C314" s="757"/>
      <c r="D314" s="758"/>
      <c r="E314" s="499" t="s">
        <v>12</v>
      </c>
      <c r="F314" s="593"/>
      <c r="G314" s="595"/>
    </row>
    <row r="315" spans="1:7" ht="15" customHeight="1" x14ac:dyDescent="0.2">
      <c r="A315" s="542"/>
      <c r="B315" s="768" t="s">
        <v>459</v>
      </c>
      <c r="C315" s="769"/>
      <c r="D315" s="770"/>
      <c r="E315" s="612">
        <f>+E50+E76+E84+F109+E116+C121+E148+E155+E168+E207+E221+C228+E310</f>
        <v>788099390</v>
      </c>
      <c r="F315" s="593"/>
      <c r="G315" s="595"/>
    </row>
    <row r="316" spans="1:7" ht="18" customHeight="1" x14ac:dyDescent="0.2">
      <c r="A316" s="497"/>
      <c r="B316" s="497"/>
      <c r="C316" s="497"/>
      <c r="D316" s="497"/>
      <c r="E316" s="497"/>
      <c r="F316" s="494"/>
    </row>
    <row r="317" spans="1:7" ht="18" customHeight="1" x14ac:dyDescent="0.2">
      <c r="A317" s="497"/>
      <c r="B317" s="497"/>
      <c r="C317" s="497"/>
      <c r="D317" s="497"/>
      <c r="E317" s="497"/>
      <c r="F317" s="494"/>
    </row>
    <row r="318" spans="1:7" ht="18" customHeight="1" x14ac:dyDescent="0.2">
      <c r="A318" s="745" t="s">
        <v>460</v>
      </c>
      <c r="B318" s="746"/>
      <c r="C318" s="747"/>
      <c r="D318" s="497"/>
      <c r="E318" s="497"/>
      <c r="F318" s="494"/>
    </row>
    <row r="319" spans="1:7" ht="18" customHeight="1" x14ac:dyDescent="0.2">
      <c r="A319" s="756" t="s">
        <v>461</v>
      </c>
      <c r="B319" s="757"/>
      <c r="C319" s="758"/>
      <c r="D319" s="497"/>
      <c r="E319" s="497"/>
      <c r="F319" s="494"/>
    </row>
    <row r="320" spans="1:7" ht="30.75" customHeight="1" x14ac:dyDescent="0.2">
      <c r="A320" s="745" t="s">
        <v>462</v>
      </c>
      <c r="B320" s="746"/>
      <c r="C320" s="499" t="s">
        <v>463</v>
      </c>
      <c r="D320" s="497"/>
      <c r="E320" s="497"/>
      <c r="F320" s="497"/>
    </row>
    <row r="321" spans="1:6" ht="15" customHeight="1" x14ac:dyDescent="0.2">
      <c r="A321" s="613" t="s">
        <v>464</v>
      </c>
      <c r="B321" s="631"/>
      <c r="C321" s="637"/>
      <c r="D321" s="497"/>
      <c r="E321" s="497"/>
      <c r="F321" s="497"/>
    </row>
    <row r="322" spans="1:6" ht="15" customHeight="1" x14ac:dyDescent="0.2">
      <c r="A322" s="614" t="s">
        <v>465</v>
      </c>
      <c r="B322" s="632"/>
      <c r="C322" s="638"/>
      <c r="D322" s="497"/>
      <c r="E322" s="497"/>
      <c r="F322" s="497"/>
    </row>
    <row r="323" spans="1:6" ht="15" customHeight="1" x14ac:dyDescent="0.2">
      <c r="A323" s="614" t="s">
        <v>466</v>
      </c>
      <c r="B323" s="632"/>
      <c r="C323" s="638"/>
      <c r="D323" s="497"/>
      <c r="E323" s="497"/>
      <c r="F323" s="497"/>
    </row>
    <row r="324" spans="1:6" ht="15" customHeight="1" x14ac:dyDescent="0.2">
      <c r="A324" s="615" t="s">
        <v>467</v>
      </c>
      <c r="B324" s="632"/>
      <c r="C324" s="638"/>
      <c r="D324" s="497"/>
      <c r="E324" s="497"/>
      <c r="F324" s="497"/>
    </row>
    <row r="325" spans="1:6" ht="15" customHeight="1" x14ac:dyDescent="0.2">
      <c r="A325" s="616" t="s">
        <v>468</v>
      </c>
      <c r="B325" s="633"/>
      <c r="C325" s="639">
        <f>SUM(C321:C324)</f>
        <v>0</v>
      </c>
      <c r="D325" s="497"/>
      <c r="E325" s="497"/>
      <c r="F325" s="497"/>
    </row>
    <row r="326" spans="1:6" ht="15" customHeight="1" x14ac:dyDescent="0.2">
      <c r="A326" s="617" t="s">
        <v>469</v>
      </c>
      <c r="B326" s="634"/>
      <c r="C326" s="637">
        <v>28087328</v>
      </c>
      <c r="D326" s="497"/>
      <c r="E326" s="497"/>
      <c r="F326" s="497"/>
    </row>
    <row r="327" spans="1:6" ht="15" customHeight="1" x14ac:dyDescent="0.2">
      <c r="A327" s="618" t="s">
        <v>470</v>
      </c>
      <c r="B327" s="635"/>
      <c r="C327" s="638"/>
      <c r="D327" s="497"/>
      <c r="E327" s="497"/>
      <c r="F327" s="497"/>
    </row>
    <row r="328" spans="1:6" ht="15" customHeight="1" x14ac:dyDescent="0.2">
      <c r="A328" s="614" t="s">
        <v>471</v>
      </c>
      <c r="B328" s="635"/>
      <c r="C328" s="638"/>
      <c r="D328" s="497"/>
      <c r="E328" s="497"/>
      <c r="F328" s="497"/>
    </row>
    <row r="329" spans="1:6" ht="15" customHeight="1" x14ac:dyDescent="0.2">
      <c r="A329" s="614" t="s">
        <v>472</v>
      </c>
      <c r="B329" s="635"/>
      <c r="C329" s="638"/>
      <c r="D329" s="497"/>
      <c r="E329" s="497"/>
      <c r="F329" s="497"/>
    </row>
    <row r="330" spans="1:6" ht="15" customHeight="1" x14ac:dyDescent="0.2">
      <c r="A330" s="618" t="s">
        <v>473</v>
      </c>
      <c r="B330" s="635"/>
      <c r="C330" s="638"/>
      <c r="D330" s="497"/>
      <c r="E330" s="497"/>
      <c r="F330" s="497"/>
    </row>
    <row r="331" spans="1:6" ht="15" customHeight="1" x14ac:dyDescent="0.2">
      <c r="A331" s="618" t="s">
        <v>474</v>
      </c>
      <c r="B331" s="635"/>
      <c r="C331" s="638"/>
      <c r="D331" s="497"/>
      <c r="E331" s="497"/>
      <c r="F331" s="497"/>
    </row>
    <row r="332" spans="1:6" ht="15" customHeight="1" x14ac:dyDescent="0.2">
      <c r="A332" s="619" t="s">
        <v>475</v>
      </c>
      <c r="B332" s="636"/>
      <c r="C332" s="640">
        <v>76067851</v>
      </c>
      <c r="D332" s="497"/>
      <c r="E332" s="497"/>
      <c r="F332" s="497"/>
    </row>
    <row r="333" spans="1:6" ht="15" customHeight="1" x14ac:dyDescent="0.2">
      <c r="A333" s="514"/>
      <c r="B333" s="630" t="s">
        <v>476</v>
      </c>
      <c r="C333" s="589">
        <f>SUM(C325:C332)</f>
        <v>104155179</v>
      </c>
      <c r="D333" s="497"/>
      <c r="E333" s="497"/>
      <c r="F333" s="497"/>
    </row>
    <row r="334" spans="1:6" ht="12.75" x14ac:dyDescent="0.2">
      <c r="A334" s="497"/>
      <c r="B334" s="497"/>
      <c r="C334" s="497"/>
      <c r="D334" s="497"/>
      <c r="E334" s="497"/>
      <c r="F334" s="494"/>
    </row>
    <row r="335" spans="1:6" ht="12.75" x14ac:dyDescent="0.2">
      <c r="A335" s="497"/>
      <c r="B335" s="497"/>
      <c r="C335" s="497"/>
      <c r="D335" s="497"/>
      <c r="E335" s="497"/>
      <c r="F335" s="494"/>
    </row>
    <row r="336" spans="1:6" ht="12.75" x14ac:dyDescent="0.2">
      <c r="A336" s="497"/>
      <c r="B336" s="497"/>
      <c r="C336" s="497"/>
      <c r="D336" s="497"/>
      <c r="E336" s="497"/>
      <c r="F336" s="494"/>
    </row>
    <row r="337" spans="1:6" ht="12.75" x14ac:dyDescent="0.2">
      <c r="A337" s="596"/>
      <c r="B337" s="596"/>
      <c r="C337" s="596"/>
      <c r="D337" s="596"/>
      <c r="E337" s="596"/>
      <c r="F337" s="609"/>
    </row>
    <row r="338" spans="1:6" ht="12.75" x14ac:dyDescent="0.2">
      <c r="A338" s="596"/>
      <c r="B338" s="596"/>
      <c r="C338" s="596"/>
      <c r="D338" s="596"/>
      <c r="E338" s="774" t="str">
        <f>[7]NOMBRE!B12</f>
        <v xml:space="preserve">SRA. MARIA INES NUÑEZ GONZALEZ </v>
      </c>
      <c r="F338" s="774"/>
    </row>
    <row r="339" spans="1:6" ht="12.75" x14ac:dyDescent="0.2">
      <c r="A339" s="596"/>
      <c r="B339" s="596"/>
      <c r="C339" s="596"/>
      <c r="D339" s="598"/>
      <c r="E339" s="773" t="str">
        <f>[7]NOMBRE!A12</f>
        <v>Jefe de Estadisticas</v>
      </c>
      <c r="F339" s="773"/>
    </row>
    <row r="340" spans="1:6" ht="12.75" x14ac:dyDescent="0.2">
      <c r="A340" s="596"/>
      <c r="B340" s="596"/>
      <c r="C340" s="596"/>
      <c r="D340" s="596"/>
      <c r="E340" s="725"/>
      <c r="F340" s="621"/>
    </row>
    <row r="341" spans="1:6" ht="12.75" x14ac:dyDescent="0.2">
      <c r="A341" s="596"/>
      <c r="B341" s="596"/>
      <c r="C341" s="596"/>
      <c r="D341" s="596"/>
      <c r="E341" s="621"/>
      <c r="F341" s="621"/>
    </row>
    <row r="342" spans="1:6" ht="12.75" x14ac:dyDescent="0.2">
      <c r="A342" s="596"/>
      <c r="B342" s="596"/>
      <c r="C342" s="596"/>
      <c r="D342" s="596"/>
      <c r="E342" s="621"/>
      <c r="F342" s="621"/>
    </row>
    <row r="343" spans="1:6" ht="12.75" x14ac:dyDescent="0.2">
      <c r="A343" s="596"/>
      <c r="B343" s="596"/>
      <c r="C343" s="596"/>
      <c r="D343" s="596"/>
      <c r="E343" s="621"/>
      <c r="F343" s="621"/>
    </row>
    <row r="344" spans="1:6" ht="12.75" x14ac:dyDescent="0.2">
      <c r="A344" s="596"/>
      <c r="B344" s="596"/>
      <c r="C344" s="596"/>
      <c r="D344" s="596"/>
      <c r="E344" s="621"/>
      <c r="F344" s="621"/>
    </row>
    <row r="345" spans="1:6" ht="12.75" x14ac:dyDescent="0.2">
      <c r="A345" s="596"/>
      <c r="B345" s="596"/>
      <c r="C345" s="596"/>
      <c r="D345" s="596"/>
      <c r="E345" s="621"/>
      <c r="F345" s="621"/>
    </row>
    <row r="346" spans="1:6" ht="12.75" x14ac:dyDescent="0.2">
      <c r="A346" s="596"/>
      <c r="B346" s="596"/>
      <c r="C346" s="596"/>
      <c r="D346" s="596"/>
      <c r="E346" s="621"/>
      <c r="F346" s="621"/>
    </row>
    <row r="347" spans="1:6" ht="12.75" x14ac:dyDescent="0.2">
      <c r="A347" s="596"/>
      <c r="B347" s="596"/>
      <c r="C347" s="596"/>
      <c r="D347" s="596"/>
      <c r="E347" s="774" t="str">
        <f>[7]NOMBRE!B11</f>
        <v xml:space="preserve">DR. FRANCISCO MARTINEZ CAVALLA </v>
      </c>
      <c r="F347" s="774"/>
    </row>
    <row r="348" spans="1:6" ht="22.5" customHeight="1" x14ac:dyDescent="0.2">
      <c r="A348" s="596"/>
      <c r="B348" s="596"/>
      <c r="C348" s="596"/>
      <c r="D348" s="609"/>
      <c r="E348" s="773" t="str">
        <f>CONCATENATE("Director ",[7]NOMBRE!B1)</f>
        <v xml:space="preserve">Director </v>
      </c>
      <c r="F348" s="773"/>
    </row>
    <row r="349" spans="1:6" ht="12.75" x14ac:dyDescent="0.2">
      <c r="A349" s="596"/>
      <c r="B349" s="596"/>
      <c r="C349" s="596"/>
      <c r="D349" s="622"/>
      <c r="E349" s="596"/>
      <c r="F349" s="609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12" sqref="B12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256" t="s">
        <v>0</v>
      </c>
      <c r="B1" s="257"/>
      <c r="C1" s="742" t="s">
        <v>1</v>
      </c>
      <c r="D1" s="743"/>
      <c r="E1" s="744"/>
      <c r="F1" s="258"/>
      <c r="G1" s="255"/>
    </row>
    <row r="2" spans="1:7" ht="12.75" x14ac:dyDescent="0.2">
      <c r="A2" s="256" t="s">
        <v>477</v>
      </c>
      <c r="B2" s="257"/>
      <c r="C2" s="739"/>
      <c r="D2" s="740"/>
      <c r="E2" s="741"/>
      <c r="F2" s="259"/>
      <c r="G2" s="260"/>
    </row>
    <row r="3" spans="1:7" ht="12.75" x14ac:dyDescent="0.2">
      <c r="A3" s="256" t="s">
        <v>478</v>
      </c>
      <c r="B3" s="257"/>
      <c r="C3" s="742" t="s">
        <v>2</v>
      </c>
      <c r="D3" s="743"/>
      <c r="E3" s="744"/>
      <c r="F3" s="259"/>
      <c r="G3" s="261"/>
    </row>
    <row r="4" spans="1:7" ht="12.75" x14ac:dyDescent="0.2">
      <c r="A4" s="256" t="s">
        <v>479</v>
      </c>
      <c r="B4" s="257"/>
      <c r="C4" s="739" t="s">
        <v>480</v>
      </c>
      <c r="D4" s="740"/>
      <c r="E4" s="741"/>
      <c r="F4" s="259"/>
      <c r="G4" s="261"/>
    </row>
    <row r="5" spans="1:7" ht="12.75" x14ac:dyDescent="0.2">
      <c r="A5" s="256" t="s">
        <v>481</v>
      </c>
      <c r="B5" s="257"/>
      <c r="C5" s="742" t="s">
        <v>3</v>
      </c>
      <c r="D5" s="743"/>
      <c r="E5" s="744"/>
      <c r="F5" s="259"/>
      <c r="G5" s="261"/>
    </row>
    <row r="6" spans="1:7" ht="12.75" x14ac:dyDescent="0.2">
      <c r="A6" s="262"/>
      <c r="B6" s="262"/>
      <c r="C6" s="739">
        <v>2015</v>
      </c>
      <c r="D6" s="740"/>
      <c r="E6" s="741"/>
      <c r="F6" s="259"/>
      <c r="G6" s="261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259"/>
      <c r="G7" s="261"/>
    </row>
    <row r="8" spans="1:7" ht="15" x14ac:dyDescent="0.2">
      <c r="A8" s="262"/>
      <c r="B8" s="483" t="s">
        <v>6</v>
      </c>
      <c r="C8" s="739" t="s">
        <v>482</v>
      </c>
      <c r="D8" s="740"/>
      <c r="E8" s="741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753" t="s">
        <v>7</v>
      </c>
      <c r="B11" s="754"/>
      <c r="C11" s="754"/>
      <c r="D11" s="754"/>
      <c r="E11" s="755"/>
      <c r="F11" s="259"/>
      <c r="G11" s="255"/>
    </row>
    <row r="12" spans="1:7" ht="43.5" customHeight="1" x14ac:dyDescent="0.2">
      <c r="A12" s="264" t="s">
        <v>8</v>
      </c>
      <c r="B12" s="264" t="s">
        <v>9</v>
      </c>
      <c r="C12" s="265" t="s">
        <v>10</v>
      </c>
      <c r="D12" s="310" t="s">
        <v>11</v>
      </c>
      <c r="E12" s="266" t="s">
        <v>12</v>
      </c>
      <c r="F12" s="262"/>
      <c r="G12" s="255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262"/>
      <c r="G13" s="255"/>
    </row>
    <row r="14" spans="1:7" ht="15" customHeight="1" x14ac:dyDescent="0.2">
      <c r="A14" s="433" t="s">
        <v>14</v>
      </c>
      <c r="B14" s="442" t="s">
        <v>15</v>
      </c>
      <c r="C14" s="379">
        <v>0</v>
      </c>
      <c r="D14" s="267">
        <v>4300</v>
      </c>
      <c r="E14" s="268">
        <v>0</v>
      </c>
      <c r="F14" s="262"/>
      <c r="G14" s="255"/>
    </row>
    <row r="15" spans="1:7" ht="15" customHeight="1" x14ac:dyDescent="0.2">
      <c r="A15" s="434" t="s">
        <v>16</v>
      </c>
      <c r="B15" s="430" t="s">
        <v>17</v>
      </c>
      <c r="C15" s="379">
        <v>0</v>
      </c>
      <c r="D15" s="270">
        <v>5400</v>
      </c>
      <c r="E15" s="271">
        <v>0</v>
      </c>
      <c r="F15" s="262"/>
      <c r="G15" s="255"/>
    </row>
    <row r="16" spans="1:7" ht="15" customHeight="1" x14ac:dyDescent="0.2">
      <c r="A16" s="434" t="s">
        <v>18</v>
      </c>
      <c r="B16" s="430" t="s">
        <v>19</v>
      </c>
      <c r="C16" s="379">
        <v>5456</v>
      </c>
      <c r="D16" s="270">
        <v>11590</v>
      </c>
      <c r="E16" s="271">
        <v>63235040</v>
      </c>
      <c r="F16" s="262"/>
      <c r="G16" s="255"/>
    </row>
    <row r="17" spans="1:6" ht="15" customHeight="1" x14ac:dyDescent="0.2">
      <c r="A17" s="434" t="s">
        <v>20</v>
      </c>
      <c r="B17" s="430" t="s">
        <v>21</v>
      </c>
      <c r="C17" s="379">
        <v>0</v>
      </c>
      <c r="D17" s="270">
        <v>6920</v>
      </c>
      <c r="E17" s="271">
        <v>0</v>
      </c>
      <c r="F17" s="262"/>
    </row>
    <row r="18" spans="1:6" ht="15" customHeight="1" x14ac:dyDescent="0.2">
      <c r="A18" s="434" t="s">
        <v>22</v>
      </c>
      <c r="B18" s="430" t="s">
        <v>23</v>
      </c>
      <c r="C18" s="379">
        <v>0</v>
      </c>
      <c r="D18" s="270">
        <v>7590</v>
      </c>
      <c r="E18" s="271">
        <v>0</v>
      </c>
      <c r="F18" s="262"/>
    </row>
    <row r="19" spans="1:6" ht="33" customHeight="1" x14ac:dyDescent="0.2">
      <c r="A19" s="434" t="s">
        <v>24</v>
      </c>
      <c r="B19" s="482" t="s">
        <v>25</v>
      </c>
      <c r="C19" s="379">
        <v>0</v>
      </c>
      <c r="D19" s="270">
        <v>5860</v>
      </c>
      <c r="E19" s="271">
        <v>0</v>
      </c>
      <c r="F19" s="262"/>
    </row>
    <row r="20" spans="1:6" ht="42.75" customHeight="1" x14ac:dyDescent="0.2">
      <c r="A20" s="434" t="s">
        <v>26</v>
      </c>
      <c r="B20" s="482" t="s">
        <v>27</v>
      </c>
      <c r="C20" s="379">
        <v>0</v>
      </c>
      <c r="D20" s="270">
        <v>7020</v>
      </c>
      <c r="E20" s="271">
        <v>0</v>
      </c>
      <c r="F20" s="262"/>
    </row>
    <row r="21" spans="1:6" ht="42.75" customHeight="1" x14ac:dyDescent="0.2">
      <c r="A21" s="434" t="s">
        <v>28</v>
      </c>
      <c r="B21" s="482" t="s">
        <v>29</v>
      </c>
      <c r="C21" s="379">
        <v>0</v>
      </c>
      <c r="D21" s="270">
        <v>8710</v>
      </c>
      <c r="E21" s="271">
        <v>0</v>
      </c>
      <c r="F21" s="262"/>
    </row>
    <row r="22" spans="1:6" ht="32.25" customHeight="1" x14ac:dyDescent="0.2">
      <c r="A22" s="434" t="s">
        <v>30</v>
      </c>
      <c r="B22" s="482" t="s">
        <v>31</v>
      </c>
      <c r="C22" s="379">
        <v>1964</v>
      </c>
      <c r="D22" s="270">
        <v>5860</v>
      </c>
      <c r="E22" s="271">
        <v>11509040</v>
      </c>
      <c r="F22" s="262"/>
    </row>
    <row r="23" spans="1:6" ht="40.5" customHeight="1" x14ac:dyDescent="0.2">
      <c r="A23" s="434" t="s">
        <v>32</v>
      </c>
      <c r="B23" s="482" t="s">
        <v>33</v>
      </c>
      <c r="C23" s="379">
        <v>783</v>
      </c>
      <c r="D23" s="270">
        <v>7020</v>
      </c>
      <c r="E23" s="271">
        <v>5496660</v>
      </c>
      <c r="F23" s="262"/>
    </row>
    <row r="24" spans="1:6" ht="27" customHeight="1" x14ac:dyDescent="0.2">
      <c r="A24" s="434" t="s">
        <v>34</v>
      </c>
      <c r="B24" s="482" t="s">
        <v>35</v>
      </c>
      <c r="C24" s="379">
        <v>2384</v>
      </c>
      <c r="D24" s="270">
        <v>8710</v>
      </c>
      <c r="E24" s="271">
        <v>20764640</v>
      </c>
      <c r="F24" s="262"/>
    </row>
    <row r="25" spans="1:6" ht="15" customHeight="1" x14ac:dyDescent="0.2">
      <c r="A25" s="434" t="s">
        <v>36</v>
      </c>
      <c r="B25" s="429" t="s">
        <v>37</v>
      </c>
      <c r="C25" s="379">
        <v>211</v>
      </c>
      <c r="D25" s="270">
        <v>7110</v>
      </c>
      <c r="E25" s="271">
        <v>1500210</v>
      </c>
      <c r="F25" s="262"/>
    </row>
    <row r="26" spans="1:6" ht="15" customHeight="1" x14ac:dyDescent="0.2">
      <c r="A26" s="435" t="s">
        <v>38</v>
      </c>
      <c r="B26" s="449" t="s">
        <v>39</v>
      </c>
      <c r="C26" s="394">
        <v>0</v>
      </c>
      <c r="D26" s="272">
        <v>29440</v>
      </c>
      <c r="E26" s="273">
        <v>0</v>
      </c>
      <c r="F26" s="262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262"/>
    </row>
    <row r="28" spans="1:6" ht="15" customHeight="1" x14ac:dyDescent="0.2">
      <c r="A28" s="433" t="s">
        <v>41</v>
      </c>
      <c r="B28" s="442" t="s">
        <v>42</v>
      </c>
      <c r="C28" s="382">
        <v>2035</v>
      </c>
      <c r="D28" s="267">
        <v>1140</v>
      </c>
      <c r="E28" s="268">
        <v>2319900</v>
      </c>
      <c r="F28" s="262"/>
    </row>
    <row r="29" spans="1:6" ht="15" customHeight="1" x14ac:dyDescent="0.2">
      <c r="A29" s="434" t="s">
        <v>43</v>
      </c>
      <c r="B29" s="448" t="s">
        <v>44</v>
      </c>
      <c r="C29" s="379">
        <v>0</v>
      </c>
      <c r="D29" s="270">
        <v>1960</v>
      </c>
      <c r="E29" s="271">
        <v>0</v>
      </c>
      <c r="F29" s="262"/>
    </row>
    <row r="30" spans="1:6" ht="15" customHeight="1" x14ac:dyDescent="0.2">
      <c r="A30" s="434" t="s">
        <v>45</v>
      </c>
      <c r="B30" s="430" t="s">
        <v>46</v>
      </c>
      <c r="C30" s="379">
        <v>0</v>
      </c>
      <c r="D30" s="270">
        <v>630</v>
      </c>
      <c r="E30" s="271">
        <v>0</v>
      </c>
      <c r="F30" s="262"/>
    </row>
    <row r="31" spans="1:6" ht="15" customHeight="1" x14ac:dyDescent="0.2">
      <c r="A31" s="434" t="s">
        <v>47</v>
      </c>
      <c r="B31" s="430" t="s">
        <v>48</v>
      </c>
      <c r="C31" s="379">
        <v>115</v>
      </c>
      <c r="D31" s="270">
        <v>1550</v>
      </c>
      <c r="E31" s="271">
        <v>178250</v>
      </c>
      <c r="F31" s="262"/>
    </row>
    <row r="32" spans="1:6" ht="15" customHeight="1" x14ac:dyDescent="0.2">
      <c r="A32" s="434" t="s">
        <v>49</v>
      </c>
      <c r="B32" s="430" t="s">
        <v>50</v>
      </c>
      <c r="C32" s="379">
        <v>1628</v>
      </c>
      <c r="D32" s="270">
        <v>1250</v>
      </c>
      <c r="E32" s="271">
        <v>2035000</v>
      </c>
      <c r="F32" s="262"/>
    </row>
    <row r="33" spans="1:6" ht="15" customHeight="1" x14ac:dyDescent="0.2">
      <c r="A33" s="434" t="s">
        <v>51</v>
      </c>
      <c r="B33" s="448" t="s">
        <v>52</v>
      </c>
      <c r="C33" s="379">
        <v>0</v>
      </c>
      <c r="D33" s="270">
        <v>1140</v>
      </c>
      <c r="E33" s="271">
        <v>0</v>
      </c>
      <c r="F33" s="262"/>
    </row>
    <row r="34" spans="1:6" ht="15" customHeight="1" x14ac:dyDescent="0.2">
      <c r="A34" s="434" t="s">
        <v>53</v>
      </c>
      <c r="B34" s="430" t="s">
        <v>54</v>
      </c>
      <c r="C34" s="379">
        <v>262</v>
      </c>
      <c r="D34" s="270">
        <v>2780</v>
      </c>
      <c r="E34" s="271">
        <v>728360</v>
      </c>
      <c r="F34" s="262"/>
    </row>
    <row r="35" spans="1:6" ht="15" customHeight="1" x14ac:dyDescent="0.2">
      <c r="A35" s="434" t="s">
        <v>55</v>
      </c>
      <c r="B35" s="448" t="s">
        <v>56</v>
      </c>
      <c r="C35" s="379">
        <v>692</v>
      </c>
      <c r="D35" s="270">
        <v>2780</v>
      </c>
      <c r="E35" s="271">
        <v>1923760</v>
      </c>
      <c r="F35" s="262"/>
    </row>
    <row r="36" spans="1:6" ht="15" customHeight="1" x14ac:dyDescent="0.2">
      <c r="A36" s="434" t="s">
        <v>57</v>
      </c>
      <c r="B36" s="448" t="s">
        <v>58</v>
      </c>
      <c r="C36" s="379">
        <v>8</v>
      </c>
      <c r="D36" s="270">
        <v>11080</v>
      </c>
      <c r="E36" s="271">
        <v>88640</v>
      </c>
      <c r="F36" s="262"/>
    </row>
    <row r="37" spans="1:6" ht="15" customHeight="1" x14ac:dyDescent="0.2">
      <c r="A37" s="435" t="s">
        <v>59</v>
      </c>
      <c r="B37" s="481" t="s">
        <v>60</v>
      </c>
      <c r="C37" s="394">
        <v>79</v>
      </c>
      <c r="D37" s="272">
        <v>12980</v>
      </c>
      <c r="E37" s="273">
        <v>1025420</v>
      </c>
      <c r="F37" s="262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262"/>
    </row>
    <row r="39" spans="1:6" ht="15" customHeight="1" x14ac:dyDescent="0.2">
      <c r="A39" s="433" t="s">
        <v>62</v>
      </c>
      <c r="B39" s="428" t="s">
        <v>63</v>
      </c>
      <c r="C39" s="382">
        <v>0</v>
      </c>
      <c r="D39" s="275">
        <v>3657</v>
      </c>
      <c r="E39" s="276">
        <v>0</v>
      </c>
      <c r="F39" s="262"/>
    </row>
    <row r="40" spans="1:6" ht="15" customHeight="1" x14ac:dyDescent="0.2">
      <c r="A40" s="435" t="s">
        <v>64</v>
      </c>
      <c r="B40" s="443" t="s">
        <v>65</v>
      </c>
      <c r="C40" s="394">
        <v>0</v>
      </c>
      <c r="D40" s="277">
        <v>9455</v>
      </c>
      <c r="E40" s="278">
        <v>0</v>
      </c>
      <c r="F40" s="262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262"/>
    </row>
    <row r="42" spans="1:6" ht="15" customHeight="1" x14ac:dyDescent="0.2">
      <c r="A42" s="433" t="s">
        <v>67</v>
      </c>
      <c r="B42" s="450" t="s">
        <v>68</v>
      </c>
      <c r="C42" s="382">
        <v>26</v>
      </c>
      <c r="D42" s="275">
        <v>3750</v>
      </c>
      <c r="E42" s="276">
        <v>97500</v>
      </c>
      <c r="F42" s="262"/>
    </row>
    <row r="43" spans="1:6" ht="15" customHeight="1" x14ac:dyDescent="0.2">
      <c r="A43" s="434" t="s">
        <v>69</v>
      </c>
      <c r="B43" s="430" t="s">
        <v>70</v>
      </c>
      <c r="C43" s="379">
        <v>276</v>
      </c>
      <c r="D43" s="270">
        <v>2060</v>
      </c>
      <c r="E43" s="271">
        <v>568560</v>
      </c>
      <c r="F43" s="262"/>
    </row>
    <row r="44" spans="1:6" ht="15" customHeight="1" x14ac:dyDescent="0.2">
      <c r="A44" s="434" t="s">
        <v>71</v>
      </c>
      <c r="B44" s="430" t="s">
        <v>72</v>
      </c>
      <c r="C44" s="379">
        <v>0</v>
      </c>
      <c r="D44" s="270">
        <v>2060</v>
      </c>
      <c r="E44" s="271">
        <v>0</v>
      </c>
      <c r="F44" s="262"/>
    </row>
    <row r="45" spans="1:6" ht="15" customHeight="1" x14ac:dyDescent="0.2">
      <c r="A45" s="435" t="s">
        <v>73</v>
      </c>
      <c r="B45" s="431" t="s">
        <v>74</v>
      </c>
      <c r="C45" s="394">
        <v>300</v>
      </c>
      <c r="D45" s="277">
        <v>630</v>
      </c>
      <c r="E45" s="278">
        <v>189000</v>
      </c>
      <c r="F45" s="262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262"/>
    </row>
    <row r="47" spans="1:6" ht="15" customHeight="1" x14ac:dyDescent="0.2">
      <c r="A47" s="433" t="s">
        <v>76</v>
      </c>
      <c r="B47" s="450" t="s">
        <v>77</v>
      </c>
      <c r="C47" s="382">
        <v>84</v>
      </c>
      <c r="D47" s="275">
        <v>1780</v>
      </c>
      <c r="E47" s="276">
        <v>149520</v>
      </c>
      <c r="F47" s="262"/>
    </row>
    <row r="48" spans="1:6" ht="15" customHeight="1" x14ac:dyDescent="0.2">
      <c r="A48" s="434" t="s">
        <v>78</v>
      </c>
      <c r="B48" s="430" t="s">
        <v>79</v>
      </c>
      <c r="C48" s="379">
        <v>25</v>
      </c>
      <c r="D48" s="270">
        <v>1780</v>
      </c>
      <c r="E48" s="271">
        <v>44500</v>
      </c>
      <c r="F48" s="262"/>
    </row>
    <row r="49" spans="1:7" ht="15" customHeight="1" x14ac:dyDescent="0.2">
      <c r="A49" s="435" t="s">
        <v>80</v>
      </c>
      <c r="B49" s="431" t="s">
        <v>81</v>
      </c>
      <c r="C49" s="394">
        <v>92</v>
      </c>
      <c r="D49" s="277">
        <v>1030</v>
      </c>
      <c r="E49" s="278">
        <v>94760</v>
      </c>
      <c r="F49" s="262"/>
      <c r="G49" s="255"/>
    </row>
    <row r="50" spans="1:7" ht="18" customHeight="1" x14ac:dyDescent="0.2">
      <c r="A50" s="279"/>
      <c r="B50" s="410" t="s">
        <v>82</v>
      </c>
      <c r="C50" s="279">
        <v>16420</v>
      </c>
      <c r="D50" s="280"/>
      <c r="E50" s="281">
        <v>111948760</v>
      </c>
      <c r="F50" s="262"/>
      <c r="G50" s="255"/>
    </row>
    <row r="51" spans="1:7" ht="18" customHeight="1" x14ac:dyDescent="0.2">
      <c r="A51" s="282"/>
      <c r="B51" s="282"/>
      <c r="C51" s="282"/>
      <c r="D51" s="283"/>
      <c r="E51" s="284"/>
      <c r="F51" s="262"/>
      <c r="G51" s="255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759" t="s">
        <v>83</v>
      </c>
      <c r="B53" s="760"/>
      <c r="C53" s="760"/>
      <c r="D53" s="760"/>
      <c r="E53" s="761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265" t="s">
        <v>10</v>
      </c>
      <c r="D54" s="311"/>
      <c r="E54" s="266" t="s">
        <v>12</v>
      </c>
      <c r="F54" s="262"/>
      <c r="G54" s="255"/>
    </row>
    <row r="55" spans="1:7" ht="18" customHeight="1" x14ac:dyDescent="0.2">
      <c r="A55" s="391" t="s">
        <v>85</v>
      </c>
      <c r="B55" s="471" t="s">
        <v>86</v>
      </c>
      <c r="C55" s="316">
        <v>62133</v>
      </c>
      <c r="D55" s="288"/>
      <c r="E55" s="289">
        <v>90283330</v>
      </c>
      <c r="F55" s="262"/>
      <c r="G55" s="255"/>
    </row>
    <row r="56" spans="1:7" ht="15" customHeight="1" x14ac:dyDescent="0.2">
      <c r="A56" s="469" t="s">
        <v>87</v>
      </c>
      <c r="B56" s="442" t="s">
        <v>88</v>
      </c>
      <c r="C56" s="425">
        <v>23596</v>
      </c>
      <c r="D56" s="290"/>
      <c r="E56" s="291">
        <v>26462230</v>
      </c>
      <c r="F56" s="262"/>
      <c r="G56" s="255"/>
    </row>
    <row r="57" spans="1:7" ht="15" customHeight="1" x14ac:dyDescent="0.2">
      <c r="A57" s="434" t="s">
        <v>89</v>
      </c>
      <c r="B57" s="429" t="s">
        <v>90</v>
      </c>
      <c r="C57" s="379">
        <v>27543</v>
      </c>
      <c r="D57" s="293"/>
      <c r="E57" s="294">
        <v>33922060</v>
      </c>
      <c r="F57" s="262"/>
      <c r="G57" s="255"/>
    </row>
    <row r="58" spans="1:7" ht="15" customHeight="1" x14ac:dyDescent="0.2">
      <c r="A58" s="434" t="s">
        <v>91</v>
      </c>
      <c r="B58" s="429" t="s">
        <v>92</v>
      </c>
      <c r="C58" s="379">
        <v>1018</v>
      </c>
      <c r="D58" s="293"/>
      <c r="E58" s="294">
        <v>3649820</v>
      </c>
      <c r="F58" s="262"/>
      <c r="G58" s="255"/>
    </row>
    <row r="59" spans="1:7" ht="15" customHeight="1" x14ac:dyDescent="0.2">
      <c r="A59" s="434" t="s">
        <v>93</v>
      </c>
      <c r="B59" s="429" t="s">
        <v>94</v>
      </c>
      <c r="C59" s="379">
        <v>0</v>
      </c>
      <c r="D59" s="293"/>
      <c r="E59" s="294">
        <v>0</v>
      </c>
      <c r="F59" s="262"/>
      <c r="G59" s="255"/>
    </row>
    <row r="60" spans="1:7" ht="15" customHeight="1" x14ac:dyDescent="0.2">
      <c r="A60" s="464" t="s">
        <v>95</v>
      </c>
      <c r="B60" s="449" t="s">
        <v>96</v>
      </c>
      <c r="C60" s="409">
        <v>1456</v>
      </c>
      <c r="D60" s="295"/>
      <c r="E60" s="296">
        <v>6960880</v>
      </c>
      <c r="F60" s="262"/>
      <c r="G60" s="255"/>
    </row>
    <row r="61" spans="1:7" ht="15" customHeight="1" x14ac:dyDescent="0.2">
      <c r="A61" s="433" t="s">
        <v>97</v>
      </c>
      <c r="B61" s="472" t="s">
        <v>98</v>
      </c>
      <c r="C61" s="411">
        <v>5677</v>
      </c>
      <c r="D61" s="297"/>
      <c r="E61" s="298">
        <v>15526150</v>
      </c>
      <c r="F61" s="262"/>
      <c r="G61" s="255"/>
    </row>
    <row r="62" spans="1:7" ht="15" customHeight="1" x14ac:dyDescent="0.2">
      <c r="A62" s="475"/>
      <c r="B62" s="450" t="s">
        <v>99</v>
      </c>
      <c r="C62" s="382">
        <v>4425</v>
      </c>
      <c r="D62" s="299"/>
      <c r="E62" s="300">
        <v>10426060</v>
      </c>
      <c r="F62" s="262"/>
      <c r="G62" s="255"/>
    </row>
    <row r="63" spans="1:7" ht="15" customHeight="1" x14ac:dyDescent="0.2">
      <c r="A63" s="475"/>
      <c r="B63" s="429" t="s">
        <v>100</v>
      </c>
      <c r="C63" s="379">
        <v>54</v>
      </c>
      <c r="D63" s="293"/>
      <c r="E63" s="294">
        <v>153640</v>
      </c>
      <c r="F63" s="262"/>
      <c r="G63" s="255"/>
    </row>
    <row r="64" spans="1:7" ht="15" customHeight="1" x14ac:dyDescent="0.2">
      <c r="A64" s="476"/>
      <c r="B64" s="431" t="s">
        <v>101</v>
      </c>
      <c r="C64" s="394">
        <v>1198</v>
      </c>
      <c r="D64" s="301"/>
      <c r="E64" s="302">
        <v>4946450</v>
      </c>
      <c r="F64" s="262"/>
      <c r="G64" s="255"/>
    </row>
    <row r="65" spans="1:7" ht="15" customHeight="1" x14ac:dyDescent="0.2">
      <c r="A65" s="469" t="s">
        <v>102</v>
      </c>
      <c r="B65" s="468" t="s">
        <v>103</v>
      </c>
      <c r="C65" s="425">
        <v>0</v>
      </c>
      <c r="D65" s="290"/>
      <c r="E65" s="291">
        <v>0</v>
      </c>
      <c r="F65" s="262"/>
      <c r="G65" s="255"/>
    </row>
    <row r="66" spans="1:7" ht="15" customHeight="1" x14ac:dyDescent="0.2">
      <c r="A66" s="434" t="s">
        <v>104</v>
      </c>
      <c r="B66" s="429" t="s">
        <v>105</v>
      </c>
      <c r="C66" s="379">
        <v>86</v>
      </c>
      <c r="D66" s="293"/>
      <c r="E66" s="294">
        <v>148820</v>
      </c>
      <c r="F66" s="262"/>
      <c r="G66" s="255"/>
    </row>
    <row r="67" spans="1:7" ht="15" customHeight="1" x14ac:dyDescent="0.2">
      <c r="A67" s="464" t="s">
        <v>106</v>
      </c>
      <c r="B67" s="449" t="s">
        <v>107</v>
      </c>
      <c r="C67" s="409">
        <v>2757</v>
      </c>
      <c r="D67" s="295"/>
      <c r="E67" s="296">
        <v>3613370</v>
      </c>
      <c r="F67" s="262"/>
      <c r="G67" s="255"/>
    </row>
    <row r="68" spans="1:7" ht="15" customHeight="1" x14ac:dyDescent="0.2">
      <c r="A68" s="477" t="s">
        <v>108</v>
      </c>
      <c r="B68" s="467" t="s">
        <v>109</v>
      </c>
      <c r="C68" s="426">
        <v>4533</v>
      </c>
      <c r="D68" s="303"/>
      <c r="E68" s="304">
        <v>82311100</v>
      </c>
      <c r="F68" s="262"/>
      <c r="G68" s="255"/>
    </row>
    <row r="69" spans="1:7" ht="15" customHeight="1" x14ac:dyDescent="0.2">
      <c r="A69" s="434" t="s">
        <v>110</v>
      </c>
      <c r="B69" s="429" t="s">
        <v>111</v>
      </c>
      <c r="C69" s="379">
        <v>2544</v>
      </c>
      <c r="D69" s="293"/>
      <c r="E69" s="294">
        <v>20776460</v>
      </c>
      <c r="F69" s="262"/>
      <c r="G69" s="255"/>
    </row>
    <row r="70" spans="1:7" ht="15" customHeight="1" x14ac:dyDescent="0.2">
      <c r="A70" s="434" t="s">
        <v>112</v>
      </c>
      <c r="B70" s="429" t="s">
        <v>113</v>
      </c>
      <c r="C70" s="379">
        <v>3</v>
      </c>
      <c r="D70" s="293"/>
      <c r="E70" s="294">
        <v>64690</v>
      </c>
      <c r="F70" s="262"/>
      <c r="G70" s="255"/>
    </row>
    <row r="71" spans="1:7" ht="15" customHeight="1" x14ac:dyDescent="0.2">
      <c r="A71" s="434" t="s">
        <v>114</v>
      </c>
      <c r="B71" s="429" t="s">
        <v>115</v>
      </c>
      <c r="C71" s="379">
        <v>917</v>
      </c>
      <c r="D71" s="293"/>
      <c r="E71" s="294">
        <v>48845120</v>
      </c>
      <c r="F71" s="262"/>
      <c r="G71" s="255"/>
    </row>
    <row r="72" spans="1:7" ht="15" customHeight="1" x14ac:dyDescent="0.2">
      <c r="A72" s="434" t="s">
        <v>116</v>
      </c>
      <c r="B72" s="429" t="s">
        <v>117</v>
      </c>
      <c r="C72" s="379">
        <v>812</v>
      </c>
      <c r="D72" s="293"/>
      <c r="E72" s="294">
        <v>11278150</v>
      </c>
      <c r="F72" s="262"/>
      <c r="G72" s="255"/>
    </row>
    <row r="73" spans="1:7" ht="15" customHeight="1" x14ac:dyDescent="0.2">
      <c r="A73" s="478"/>
      <c r="B73" s="429" t="s">
        <v>118</v>
      </c>
      <c r="C73" s="379">
        <v>257</v>
      </c>
      <c r="D73" s="293"/>
      <c r="E73" s="294">
        <v>1346680</v>
      </c>
      <c r="F73" s="262"/>
      <c r="G73" s="255"/>
    </row>
    <row r="74" spans="1:7" ht="15" customHeight="1" x14ac:dyDescent="0.2">
      <c r="A74" s="479" t="s">
        <v>119</v>
      </c>
      <c r="B74" s="473" t="s">
        <v>120</v>
      </c>
      <c r="C74" s="416">
        <v>0</v>
      </c>
      <c r="D74" s="388"/>
      <c r="E74" s="389">
        <v>0</v>
      </c>
      <c r="F74" s="262"/>
      <c r="G74" s="255"/>
    </row>
    <row r="75" spans="1:7" ht="15" customHeight="1" x14ac:dyDescent="0.2">
      <c r="A75" s="480" t="s">
        <v>121</v>
      </c>
      <c r="B75" s="474" t="s">
        <v>122</v>
      </c>
      <c r="C75" s="427">
        <v>0</v>
      </c>
      <c r="D75" s="305"/>
      <c r="E75" s="306">
        <v>0</v>
      </c>
      <c r="F75" s="262"/>
      <c r="G75" s="255"/>
    </row>
    <row r="76" spans="1:7" ht="15" customHeight="1" x14ac:dyDescent="0.2">
      <c r="A76" s="436"/>
      <c r="B76" s="432" t="s">
        <v>123</v>
      </c>
      <c r="C76" s="316">
        <v>66666</v>
      </c>
      <c r="D76" s="288"/>
      <c r="E76" s="308">
        <v>172594430</v>
      </c>
      <c r="F76" s="262"/>
      <c r="G76" s="255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753" t="s">
        <v>124</v>
      </c>
      <c r="B79" s="754"/>
      <c r="C79" s="754"/>
      <c r="D79" s="754"/>
      <c r="E79" s="755"/>
      <c r="F79" s="285"/>
      <c r="G79" s="286"/>
    </row>
    <row r="80" spans="1:7" ht="45" customHeight="1" x14ac:dyDescent="0.2">
      <c r="A80" s="264" t="s">
        <v>8</v>
      </c>
      <c r="B80" s="390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0" t="s">
        <v>125</v>
      </c>
      <c r="B81" s="442" t="s">
        <v>126</v>
      </c>
      <c r="C81" s="382">
        <v>0</v>
      </c>
      <c r="D81" s="290"/>
      <c r="E81" s="313">
        <v>0</v>
      </c>
      <c r="F81" s="262"/>
    </row>
    <row r="82" spans="1:6" ht="15" customHeight="1" x14ac:dyDescent="0.2">
      <c r="A82" s="456">
        <v>2001</v>
      </c>
      <c r="B82" s="429" t="s">
        <v>127</v>
      </c>
      <c r="C82" s="379">
        <v>1048</v>
      </c>
      <c r="D82" s="293"/>
      <c r="E82" s="314">
        <v>9957000</v>
      </c>
      <c r="F82" s="262"/>
    </row>
    <row r="83" spans="1:6" ht="15" customHeight="1" x14ac:dyDescent="0.2">
      <c r="A83" s="464" t="s">
        <v>128</v>
      </c>
      <c r="B83" s="449" t="s">
        <v>129</v>
      </c>
      <c r="C83" s="409">
        <v>27</v>
      </c>
      <c r="D83" s="295"/>
      <c r="E83" s="315">
        <v>1708870</v>
      </c>
      <c r="F83" s="262"/>
    </row>
    <row r="84" spans="1:6" ht="17.25" customHeight="1" x14ac:dyDescent="0.2">
      <c r="A84" s="436"/>
      <c r="B84" s="432" t="s">
        <v>130</v>
      </c>
      <c r="C84" s="316">
        <v>1075</v>
      </c>
      <c r="D84" s="288"/>
      <c r="E84" s="317">
        <v>11665870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customHeight="1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390" t="s">
        <v>132</v>
      </c>
      <c r="D89" s="393" t="s">
        <v>133</v>
      </c>
      <c r="E89" s="310" t="s">
        <v>134</v>
      </c>
      <c r="F89" s="266" t="s">
        <v>12</v>
      </c>
    </row>
    <row r="90" spans="1:6" ht="15" customHeight="1" x14ac:dyDescent="0.2">
      <c r="A90" s="433" t="s">
        <v>135</v>
      </c>
      <c r="B90" s="428" t="s">
        <v>136</v>
      </c>
      <c r="C90" s="419">
        <v>1</v>
      </c>
      <c r="D90" s="318">
        <v>0</v>
      </c>
      <c r="E90" s="319">
        <v>0</v>
      </c>
      <c r="F90" s="320">
        <v>153900</v>
      </c>
    </row>
    <row r="91" spans="1:6" ht="15" customHeight="1" x14ac:dyDescent="0.2">
      <c r="A91" s="434" t="s">
        <v>137</v>
      </c>
      <c r="B91" s="429" t="s">
        <v>138</v>
      </c>
      <c r="C91" s="420">
        <v>85</v>
      </c>
      <c r="D91" s="321">
        <v>0</v>
      </c>
      <c r="E91" s="322">
        <v>0</v>
      </c>
      <c r="F91" s="323">
        <v>10449750</v>
      </c>
    </row>
    <row r="92" spans="1:6" ht="15" customHeight="1" x14ac:dyDescent="0.2">
      <c r="A92" s="434" t="s">
        <v>139</v>
      </c>
      <c r="B92" s="429" t="s">
        <v>140</v>
      </c>
      <c r="C92" s="420">
        <v>13</v>
      </c>
      <c r="D92" s="321">
        <v>1</v>
      </c>
      <c r="E92" s="322">
        <v>1</v>
      </c>
      <c r="F92" s="323">
        <v>1131372.5</v>
      </c>
    </row>
    <row r="93" spans="1:6" ht="15" customHeight="1" x14ac:dyDescent="0.2">
      <c r="A93" s="434" t="s">
        <v>141</v>
      </c>
      <c r="B93" s="429" t="s">
        <v>142</v>
      </c>
      <c r="C93" s="420">
        <v>6</v>
      </c>
      <c r="D93" s="321">
        <v>0</v>
      </c>
      <c r="E93" s="322">
        <v>0</v>
      </c>
      <c r="F93" s="323">
        <v>462900</v>
      </c>
    </row>
    <row r="94" spans="1:6" ht="15" customHeight="1" x14ac:dyDescent="0.2">
      <c r="A94" s="434" t="s">
        <v>143</v>
      </c>
      <c r="B94" s="429" t="s">
        <v>144</v>
      </c>
      <c r="C94" s="420">
        <v>74</v>
      </c>
      <c r="D94" s="321">
        <v>0</v>
      </c>
      <c r="E94" s="322">
        <v>0</v>
      </c>
      <c r="F94" s="323">
        <v>3578790</v>
      </c>
    </row>
    <row r="95" spans="1:6" ht="15" customHeight="1" x14ac:dyDescent="0.2">
      <c r="A95" s="434" t="s">
        <v>145</v>
      </c>
      <c r="B95" s="429" t="s">
        <v>146</v>
      </c>
      <c r="C95" s="420">
        <v>101</v>
      </c>
      <c r="D95" s="321">
        <v>1</v>
      </c>
      <c r="E95" s="322">
        <v>0</v>
      </c>
      <c r="F95" s="323">
        <v>2247755</v>
      </c>
    </row>
    <row r="96" spans="1:6" ht="15" customHeight="1" x14ac:dyDescent="0.2">
      <c r="A96" s="434" t="s">
        <v>147</v>
      </c>
      <c r="B96" s="429" t="s">
        <v>148</v>
      </c>
      <c r="C96" s="420">
        <v>2</v>
      </c>
      <c r="D96" s="321">
        <v>0</v>
      </c>
      <c r="E96" s="322">
        <v>0</v>
      </c>
      <c r="F96" s="323">
        <v>265740</v>
      </c>
    </row>
    <row r="97" spans="1:6" ht="15" customHeight="1" x14ac:dyDescent="0.2">
      <c r="A97" s="434" t="s">
        <v>149</v>
      </c>
      <c r="B97" s="429" t="s">
        <v>150</v>
      </c>
      <c r="C97" s="420">
        <v>1</v>
      </c>
      <c r="D97" s="321">
        <v>1</v>
      </c>
      <c r="E97" s="322">
        <v>0</v>
      </c>
      <c r="F97" s="323">
        <v>143025</v>
      </c>
    </row>
    <row r="98" spans="1:6" ht="15" customHeight="1" x14ac:dyDescent="0.2">
      <c r="A98" s="434" t="s">
        <v>151</v>
      </c>
      <c r="B98" s="429" t="s">
        <v>152</v>
      </c>
      <c r="C98" s="420">
        <v>143</v>
      </c>
      <c r="D98" s="321">
        <v>15</v>
      </c>
      <c r="E98" s="322">
        <v>1</v>
      </c>
      <c r="F98" s="323">
        <v>36726782.5</v>
      </c>
    </row>
    <row r="99" spans="1:6" ht="15" customHeight="1" x14ac:dyDescent="0.2">
      <c r="A99" s="434" t="s">
        <v>153</v>
      </c>
      <c r="B99" s="429" t="s">
        <v>154</v>
      </c>
      <c r="C99" s="420">
        <v>11</v>
      </c>
      <c r="D99" s="321">
        <v>0</v>
      </c>
      <c r="E99" s="322">
        <v>0</v>
      </c>
      <c r="F99" s="323">
        <v>969010</v>
      </c>
    </row>
    <row r="100" spans="1:6" ht="15" customHeight="1" x14ac:dyDescent="0.2">
      <c r="A100" s="434" t="s">
        <v>155</v>
      </c>
      <c r="B100" s="429" t="s">
        <v>156</v>
      </c>
      <c r="C100" s="420">
        <v>37</v>
      </c>
      <c r="D100" s="321">
        <v>1</v>
      </c>
      <c r="E100" s="322">
        <v>0</v>
      </c>
      <c r="F100" s="323">
        <v>6340135</v>
      </c>
    </row>
    <row r="101" spans="1:6" ht="15" customHeight="1" x14ac:dyDescent="0.2">
      <c r="A101" s="434" t="s">
        <v>157</v>
      </c>
      <c r="B101" s="429" t="s">
        <v>158</v>
      </c>
      <c r="C101" s="420">
        <v>10</v>
      </c>
      <c r="D101" s="321">
        <v>1</v>
      </c>
      <c r="E101" s="322">
        <v>0</v>
      </c>
      <c r="F101" s="323">
        <v>2586140</v>
      </c>
    </row>
    <row r="102" spans="1:6" ht="15" customHeight="1" x14ac:dyDescent="0.2">
      <c r="A102" s="464" t="s">
        <v>159</v>
      </c>
      <c r="B102" s="449" t="s">
        <v>160</v>
      </c>
      <c r="C102" s="421">
        <v>39</v>
      </c>
      <c r="D102" s="324">
        <v>3</v>
      </c>
      <c r="E102" s="325">
        <v>1</v>
      </c>
      <c r="F102" s="326">
        <v>8700227.5</v>
      </c>
    </row>
    <row r="103" spans="1:6" ht="15" customHeight="1" x14ac:dyDescent="0.2">
      <c r="A103" s="433" t="s">
        <v>161</v>
      </c>
      <c r="B103" s="428" t="s">
        <v>162</v>
      </c>
      <c r="C103" s="419">
        <v>69</v>
      </c>
      <c r="D103" s="318">
        <v>1</v>
      </c>
      <c r="E103" s="319">
        <v>0</v>
      </c>
      <c r="F103" s="320">
        <v>8306735</v>
      </c>
    </row>
    <row r="104" spans="1:6" ht="15" customHeight="1" x14ac:dyDescent="0.2">
      <c r="A104" s="434"/>
      <c r="B104" s="429" t="s">
        <v>163</v>
      </c>
      <c r="C104" s="420">
        <v>0</v>
      </c>
      <c r="D104" s="321">
        <v>0</v>
      </c>
      <c r="E104" s="322">
        <v>0</v>
      </c>
      <c r="F104" s="323">
        <v>0</v>
      </c>
    </row>
    <row r="105" spans="1:6" ht="15" customHeight="1" x14ac:dyDescent="0.2">
      <c r="A105" s="434"/>
      <c r="B105" s="429" t="s">
        <v>164</v>
      </c>
      <c r="C105" s="420">
        <v>41</v>
      </c>
      <c r="D105" s="321">
        <v>0</v>
      </c>
      <c r="E105" s="322">
        <v>0</v>
      </c>
      <c r="F105" s="323">
        <v>5445620</v>
      </c>
    </row>
    <row r="106" spans="1:6" ht="15" customHeight="1" x14ac:dyDescent="0.2">
      <c r="A106" s="435"/>
      <c r="B106" s="443" t="s">
        <v>165</v>
      </c>
      <c r="C106" s="422">
        <v>28</v>
      </c>
      <c r="D106" s="328">
        <v>1</v>
      </c>
      <c r="E106" s="329">
        <v>0</v>
      </c>
      <c r="F106" s="330">
        <v>2861115</v>
      </c>
    </row>
    <row r="107" spans="1:6" ht="15" customHeight="1" x14ac:dyDescent="0.2">
      <c r="A107" s="469" t="s">
        <v>166</v>
      </c>
      <c r="B107" s="468" t="s">
        <v>167</v>
      </c>
      <c r="C107" s="423">
        <v>43</v>
      </c>
      <c r="D107" s="331">
        <v>1</v>
      </c>
      <c r="E107" s="332">
        <v>0</v>
      </c>
      <c r="F107" s="333">
        <v>9198635</v>
      </c>
    </row>
    <row r="108" spans="1:6" ht="15" customHeight="1" x14ac:dyDescent="0.2">
      <c r="A108" s="465">
        <v>2106</v>
      </c>
      <c r="B108" s="443" t="s">
        <v>168</v>
      </c>
      <c r="C108" s="422">
        <v>6</v>
      </c>
      <c r="D108" s="328">
        <v>1</v>
      </c>
      <c r="E108" s="329">
        <v>0</v>
      </c>
      <c r="F108" s="330">
        <v>361075</v>
      </c>
    </row>
    <row r="109" spans="1:6" ht="15" customHeight="1" x14ac:dyDescent="0.2">
      <c r="A109" s="441"/>
      <c r="B109" s="440" t="s">
        <v>169</v>
      </c>
      <c r="C109" s="424">
        <v>641</v>
      </c>
      <c r="D109" s="335">
        <v>26</v>
      </c>
      <c r="E109" s="336">
        <v>3</v>
      </c>
      <c r="F109" s="337">
        <v>91621972.5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753" t="s">
        <v>170</v>
      </c>
      <c r="B112" s="754"/>
      <c r="C112" s="754"/>
      <c r="D112" s="754"/>
      <c r="E112" s="755"/>
      <c r="F112" s="259"/>
    </row>
    <row r="113" spans="1:6" ht="49.5" customHeight="1" x14ac:dyDescent="0.2">
      <c r="A113" s="264" t="s">
        <v>8</v>
      </c>
      <c r="B113" s="264" t="s">
        <v>9</v>
      </c>
      <c r="C113" s="265" t="s">
        <v>10</v>
      </c>
      <c r="D113" s="310" t="s">
        <v>11</v>
      </c>
      <c r="E113" s="266" t="s">
        <v>12</v>
      </c>
      <c r="F113" s="259"/>
    </row>
    <row r="114" spans="1:6" ht="15" customHeight="1" x14ac:dyDescent="0.2">
      <c r="A114" s="433" t="s">
        <v>171</v>
      </c>
      <c r="B114" s="428" t="s">
        <v>172</v>
      </c>
      <c r="C114" s="382">
        <v>65</v>
      </c>
      <c r="D114" s="338">
        <v>132810</v>
      </c>
      <c r="E114" s="339">
        <v>8632650</v>
      </c>
      <c r="F114" s="262"/>
    </row>
    <row r="115" spans="1:6" ht="15" customHeight="1" x14ac:dyDescent="0.2">
      <c r="A115" s="435" t="s">
        <v>173</v>
      </c>
      <c r="B115" s="462" t="s">
        <v>174</v>
      </c>
      <c r="C115" s="409">
        <v>1</v>
      </c>
      <c r="D115" s="340">
        <v>139740</v>
      </c>
      <c r="E115" s="315">
        <v>139740</v>
      </c>
      <c r="F115" s="262"/>
    </row>
    <row r="116" spans="1:6" ht="15" customHeight="1" x14ac:dyDescent="0.2">
      <c r="A116" s="316"/>
      <c r="B116" s="392" t="s">
        <v>175</v>
      </c>
      <c r="C116" s="316">
        <v>66</v>
      </c>
      <c r="D116" s="288"/>
      <c r="E116" s="317">
        <v>8772390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764" t="s">
        <v>176</v>
      </c>
      <c r="B119" s="764"/>
      <c r="C119" s="764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v>11865340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753" t="s">
        <v>179</v>
      </c>
      <c r="B124" s="754"/>
      <c r="C124" s="754"/>
      <c r="D124" s="754"/>
      <c r="E124" s="755"/>
      <c r="F124" s="259"/>
    </row>
    <row r="125" spans="1:6" ht="45.75" customHeight="1" x14ac:dyDescent="0.2">
      <c r="A125" s="264" t="s">
        <v>8</v>
      </c>
      <c r="B125" s="264" t="s">
        <v>9</v>
      </c>
      <c r="C125" s="265" t="s">
        <v>10</v>
      </c>
      <c r="D125" s="310" t="s">
        <v>11</v>
      </c>
      <c r="E125" s="266" t="s">
        <v>12</v>
      </c>
      <c r="F125" s="259"/>
    </row>
    <row r="126" spans="1:6" ht="15" customHeight="1" x14ac:dyDescent="0.2">
      <c r="A126" s="433" t="s">
        <v>180</v>
      </c>
      <c r="B126" s="450" t="s">
        <v>181</v>
      </c>
      <c r="C126" s="382">
        <v>5422</v>
      </c>
      <c r="D126" s="275">
        <v>34010</v>
      </c>
      <c r="E126" s="344">
        <v>184402220</v>
      </c>
      <c r="F126" s="262"/>
    </row>
    <row r="127" spans="1:6" ht="15" customHeight="1" x14ac:dyDescent="0.2">
      <c r="A127" s="434" t="s">
        <v>182</v>
      </c>
      <c r="B127" s="430" t="s">
        <v>183</v>
      </c>
      <c r="C127" s="379">
        <v>0</v>
      </c>
      <c r="D127" s="270">
        <v>31310</v>
      </c>
      <c r="E127" s="345">
        <v>0</v>
      </c>
      <c r="F127" s="262"/>
    </row>
    <row r="128" spans="1:6" ht="15" customHeight="1" x14ac:dyDescent="0.2">
      <c r="A128" s="434" t="s">
        <v>184</v>
      </c>
      <c r="B128" s="430" t="s">
        <v>185</v>
      </c>
      <c r="C128" s="379">
        <v>0</v>
      </c>
      <c r="D128" s="270">
        <v>26100</v>
      </c>
      <c r="E128" s="345">
        <v>0</v>
      </c>
      <c r="F128" s="262"/>
    </row>
    <row r="129" spans="1:6" ht="15" customHeight="1" x14ac:dyDescent="0.2">
      <c r="A129" s="434" t="s">
        <v>186</v>
      </c>
      <c r="B129" s="430" t="s">
        <v>187</v>
      </c>
      <c r="C129" s="379">
        <v>243</v>
      </c>
      <c r="D129" s="270">
        <v>141410</v>
      </c>
      <c r="E129" s="345">
        <v>34362630</v>
      </c>
      <c r="F129" s="262"/>
    </row>
    <row r="130" spans="1:6" ht="15" customHeight="1" x14ac:dyDescent="0.2">
      <c r="A130" s="434" t="s">
        <v>188</v>
      </c>
      <c r="B130" s="430" t="s">
        <v>189</v>
      </c>
      <c r="C130" s="379">
        <v>324</v>
      </c>
      <c r="D130" s="270">
        <v>68290</v>
      </c>
      <c r="E130" s="345">
        <v>22125960</v>
      </c>
      <c r="F130" s="262"/>
    </row>
    <row r="131" spans="1:6" ht="15" customHeight="1" x14ac:dyDescent="0.2">
      <c r="A131" s="434" t="s">
        <v>190</v>
      </c>
      <c r="B131" s="430" t="s">
        <v>191</v>
      </c>
      <c r="C131" s="379">
        <v>207</v>
      </c>
      <c r="D131" s="270">
        <v>61270</v>
      </c>
      <c r="E131" s="345">
        <v>12682890</v>
      </c>
      <c r="F131" s="262"/>
    </row>
    <row r="132" spans="1:6" ht="15" customHeight="1" x14ac:dyDescent="0.2">
      <c r="A132" s="434" t="s">
        <v>192</v>
      </c>
      <c r="B132" s="430" t="s">
        <v>193</v>
      </c>
      <c r="C132" s="379">
        <v>0</v>
      </c>
      <c r="D132" s="270">
        <v>17390</v>
      </c>
      <c r="E132" s="345">
        <v>0</v>
      </c>
      <c r="F132" s="262"/>
    </row>
    <row r="133" spans="1:6" ht="15" customHeight="1" x14ac:dyDescent="0.2">
      <c r="A133" s="434" t="s">
        <v>194</v>
      </c>
      <c r="B133" s="430" t="s">
        <v>195</v>
      </c>
      <c r="C133" s="379">
        <v>0</v>
      </c>
      <c r="D133" s="270">
        <v>27240</v>
      </c>
      <c r="E133" s="345">
        <v>0</v>
      </c>
      <c r="F133" s="262"/>
    </row>
    <row r="134" spans="1:6" ht="15" customHeight="1" x14ac:dyDescent="0.2">
      <c r="A134" s="434" t="s">
        <v>196</v>
      </c>
      <c r="B134" s="430" t="s">
        <v>197</v>
      </c>
      <c r="C134" s="379">
        <v>0</v>
      </c>
      <c r="D134" s="270">
        <v>27470</v>
      </c>
      <c r="E134" s="345">
        <v>0</v>
      </c>
      <c r="F134" s="262"/>
    </row>
    <row r="135" spans="1:6" ht="15" customHeight="1" x14ac:dyDescent="0.2">
      <c r="A135" s="434" t="s">
        <v>198</v>
      </c>
      <c r="B135" s="430" t="s">
        <v>199</v>
      </c>
      <c r="C135" s="379">
        <v>0</v>
      </c>
      <c r="D135" s="270">
        <v>28360</v>
      </c>
      <c r="E135" s="345">
        <v>0</v>
      </c>
      <c r="F135" s="262"/>
    </row>
    <row r="136" spans="1:6" ht="15" customHeight="1" x14ac:dyDescent="0.2">
      <c r="A136" s="434" t="s">
        <v>200</v>
      </c>
      <c r="B136" s="430" t="s">
        <v>201</v>
      </c>
      <c r="C136" s="379">
        <v>0</v>
      </c>
      <c r="D136" s="270">
        <v>34010</v>
      </c>
      <c r="E136" s="345">
        <v>0</v>
      </c>
      <c r="F136" s="262"/>
    </row>
    <row r="137" spans="1:6" ht="15" customHeight="1" x14ac:dyDescent="0.2">
      <c r="A137" s="434" t="s">
        <v>202</v>
      </c>
      <c r="B137" s="429" t="s">
        <v>203</v>
      </c>
      <c r="C137" s="379">
        <v>34</v>
      </c>
      <c r="D137" s="270">
        <v>6600</v>
      </c>
      <c r="E137" s="345">
        <v>224400</v>
      </c>
      <c r="F137" s="262"/>
    </row>
    <row r="138" spans="1:6" ht="15" customHeight="1" x14ac:dyDescent="0.2">
      <c r="A138" s="434" t="s">
        <v>204</v>
      </c>
      <c r="B138" s="429" t="s">
        <v>205</v>
      </c>
      <c r="C138" s="379">
        <v>0</v>
      </c>
      <c r="D138" s="270">
        <v>47670</v>
      </c>
      <c r="E138" s="345">
        <v>0</v>
      </c>
      <c r="F138" s="262"/>
    </row>
    <row r="139" spans="1:6" ht="15" customHeight="1" x14ac:dyDescent="0.2">
      <c r="A139" s="435"/>
      <c r="B139" s="466" t="s">
        <v>206</v>
      </c>
      <c r="C139" s="418">
        <v>6230</v>
      </c>
      <c r="D139" s="346"/>
      <c r="E139" s="347">
        <v>253798100</v>
      </c>
      <c r="F139" s="262"/>
    </row>
    <row r="140" spans="1:6" ht="15" customHeight="1" x14ac:dyDescent="0.2">
      <c r="A140" s="433"/>
      <c r="B140" s="467" t="s">
        <v>207</v>
      </c>
      <c r="C140" s="382"/>
      <c r="D140" s="275"/>
      <c r="E140" s="344"/>
      <c r="F140" s="262"/>
    </row>
    <row r="141" spans="1:6" ht="15" customHeight="1" x14ac:dyDescent="0.2">
      <c r="A141" s="434" t="s">
        <v>208</v>
      </c>
      <c r="B141" s="430" t="s">
        <v>209</v>
      </c>
      <c r="C141" s="379">
        <v>0</v>
      </c>
      <c r="D141" s="270">
        <v>11430</v>
      </c>
      <c r="E141" s="345">
        <v>0</v>
      </c>
      <c r="F141" s="262"/>
    </row>
    <row r="142" spans="1:6" ht="15" customHeight="1" x14ac:dyDescent="0.2">
      <c r="A142" s="434" t="s">
        <v>210</v>
      </c>
      <c r="B142" s="430" t="s">
        <v>211</v>
      </c>
      <c r="C142" s="379">
        <v>0</v>
      </c>
      <c r="D142" s="270">
        <v>11430</v>
      </c>
      <c r="E142" s="345">
        <v>0</v>
      </c>
      <c r="F142" s="262"/>
    </row>
    <row r="143" spans="1:6" ht="15" customHeight="1" x14ac:dyDescent="0.2">
      <c r="A143" s="434" t="s">
        <v>212</v>
      </c>
      <c r="B143" s="430" t="s">
        <v>213</v>
      </c>
      <c r="C143" s="379">
        <v>0</v>
      </c>
      <c r="D143" s="270">
        <v>5040</v>
      </c>
      <c r="E143" s="345">
        <v>0</v>
      </c>
      <c r="F143" s="262"/>
    </row>
    <row r="144" spans="1:6" ht="15" customHeight="1" x14ac:dyDescent="0.2">
      <c r="A144" s="434" t="s">
        <v>214</v>
      </c>
      <c r="B144" s="430" t="s">
        <v>215</v>
      </c>
      <c r="C144" s="379">
        <v>0</v>
      </c>
      <c r="D144" s="270">
        <v>91950</v>
      </c>
      <c r="E144" s="345">
        <v>0</v>
      </c>
      <c r="F144" s="262"/>
    </row>
    <row r="145" spans="1:6" ht="15" customHeight="1" x14ac:dyDescent="0.2">
      <c r="A145" s="434" t="s">
        <v>216</v>
      </c>
      <c r="B145" s="430" t="s">
        <v>217</v>
      </c>
      <c r="C145" s="379">
        <v>0</v>
      </c>
      <c r="D145" s="270">
        <v>10860</v>
      </c>
      <c r="E145" s="345">
        <v>0</v>
      </c>
      <c r="F145" s="262"/>
    </row>
    <row r="146" spans="1:6" ht="15" customHeight="1" x14ac:dyDescent="0.2">
      <c r="A146" s="434" t="s">
        <v>218</v>
      </c>
      <c r="B146" s="430" t="s">
        <v>219</v>
      </c>
      <c r="C146" s="379">
        <v>0</v>
      </c>
      <c r="D146" s="270">
        <v>8360</v>
      </c>
      <c r="E146" s="345">
        <v>0</v>
      </c>
      <c r="F146" s="262"/>
    </row>
    <row r="147" spans="1:6" ht="15" customHeight="1" x14ac:dyDescent="0.2">
      <c r="A147" s="435"/>
      <c r="B147" s="466" t="s">
        <v>220</v>
      </c>
      <c r="C147" s="418">
        <v>0</v>
      </c>
      <c r="D147" s="346"/>
      <c r="E147" s="347">
        <v>0</v>
      </c>
      <c r="F147" s="262"/>
    </row>
    <row r="148" spans="1:6" ht="15" customHeight="1" x14ac:dyDescent="0.2">
      <c r="A148" s="441"/>
      <c r="B148" s="440" t="s">
        <v>221</v>
      </c>
      <c r="C148" s="279">
        <v>6230</v>
      </c>
      <c r="D148" s="348"/>
      <c r="E148" s="349">
        <v>253798100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customHeight="1" x14ac:dyDescent="0.2">
      <c r="A151" s="745" t="s">
        <v>222</v>
      </c>
      <c r="B151" s="746"/>
      <c r="C151" s="746"/>
      <c r="D151" s="746"/>
      <c r="E151" s="747"/>
      <c r="F151" s="259"/>
    </row>
    <row r="152" spans="1:6" ht="47.25" customHeight="1" x14ac:dyDescent="0.2">
      <c r="A152" s="264" t="s">
        <v>8</v>
      </c>
      <c r="B152" s="264" t="s">
        <v>9</v>
      </c>
      <c r="C152" s="265" t="s">
        <v>10</v>
      </c>
      <c r="D152" s="310" t="s">
        <v>11</v>
      </c>
      <c r="E152" s="266" t="s">
        <v>12</v>
      </c>
      <c r="F152" s="262"/>
    </row>
    <row r="153" spans="1:6" ht="15" customHeight="1" x14ac:dyDescent="0.2">
      <c r="A153" s="433" t="s">
        <v>223</v>
      </c>
      <c r="B153" s="450" t="s">
        <v>224</v>
      </c>
      <c r="C153" s="382">
        <v>233</v>
      </c>
      <c r="D153" s="275">
        <v>780</v>
      </c>
      <c r="E153" s="344">
        <v>181740</v>
      </c>
      <c r="F153" s="262"/>
    </row>
    <row r="154" spans="1:6" ht="15" customHeight="1" x14ac:dyDescent="0.2">
      <c r="A154" s="435" t="s">
        <v>225</v>
      </c>
      <c r="B154" s="431" t="s">
        <v>226</v>
      </c>
      <c r="C154" s="394">
        <v>0</v>
      </c>
      <c r="D154" s="277">
        <v>100</v>
      </c>
      <c r="E154" s="350">
        <v>0</v>
      </c>
      <c r="F154" s="262"/>
    </row>
    <row r="155" spans="1:6" ht="15" customHeight="1" x14ac:dyDescent="0.2">
      <c r="A155" s="441"/>
      <c r="B155" s="440" t="s">
        <v>227</v>
      </c>
      <c r="C155" s="279">
        <v>233</v>
      </c>
      <c r="D155" s="348"/>
      <c r="E155" s="349">
        <v>181740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259"/>
    </row>
    <row r="159" spans="1:6" ht="47.25" customHeight="1" x14ac:dyDescent="0.2">
      <c r="A159" s="264" t="s">
        <v>8</v>
      </c>
      <c r="B159" s="264" t="s">
        <v>9</v>
      </c>
      <c r="C159" s="265" t="s">
        <v>10</v>
      </c>
      <c r="D159" s="310" t="s">
        <v>11</v>
      </c>
      <c r="E159" s="266" t="s">
        <v>12</v>
      </c>
      <c r="F159" s="262"/>
    </row>
    <row r="160" spans="1:6" ht="15" customHeight="1" x14ac:dyDescent="0.2">
      <c r="A160" s="433" t="s">
        <v>229</v>
      </c>
      <c r="B160" s="428" t="s">
        <v>230</v>
      </c>
      <c r="C160" s="413">
        <v>0</v>
      </c>
      <c r="D160" s="275">
        <v>42830</v>
      </c>
      <c r="E160" s="344">
        <v>0</v>
      </c>
      <c r="F160" s="262"/>
    </row>
    <row r="161" spans="1:6" ht="15" customHeight="1" x14ac:dyDescent="0.2">
      <c r="A161" s="434" t="s">
        <v>231</v>
      </c>
      <c r="B161" s="430" t="s">
        <v>232</v>
      </c>
      <c r="C161" s="417">
        <v>0</v>
      </c>
      <c r="D161" s="270">
        <v>26930</v>
      </c>
      <c r="E161" s="345">
        <v>0</v>
      </c>
      <c r="F161" s="262"/>
    </row>
    <row r="162" spans="1:6" ht="15" customHeight="1" x14ac:dyDescent="0.2">
      <c r="A162" s="434" t="s">
        <v>233</v>
      </c>
      <c r="B162" s="429" t="s">
        <v>234</v>
      </c>
      <c r="C162" s="417">
        <v>0</v>
      </c>
      <c r="D162" s="270">
        <v>27740</v>
      </c>
      <c r="E162" s="345">
        <v>0</v>
      </c>
      <c r="F162" s="262"/>
    </row>
    <row r="163" spans="1:6" ht="15" customHeight="1" x14ac:dyDescent="0.2">
      <c r="A163" s="434" t="s">
        <v>235</v>
      </c>
      <c r="B163" s="430" t="s">
        <v>236</v>
      </c>
      <c r="C163" s="417">
        <v>0</v>
      </c>
      <c r="D163" s="270">
        <v>832280</v>
      </c>
      <c r="E163" s="345">
        <v>0</v>
      </c>
      <c r="F163" s="262"/>
    </row>
    <row r="164" spans="1:6" ht="15" customHeight="1" x14ac:dyDescent="0.2">
      <c r="A164" s="434" t="s">
        <v>237</v>
      </c>
      <c r="B164" s="430" t="s">
        <v>238</v>
      </c>
      <c r="C164" s="417">
        <v>0</v>
      </c>
      <c r="D164" s="270">
        <v>378030</v>
      </c>
      <c r="E164" s="345">
        <v>0</v>
      </c>
      <c r="F164" s="262"/>
    </row>
    <row r="165" spans="1:6" ht="15" customHeight="1" x14ac:dyDescent="0.2">
      <c r="A165" s="434" t="s">
        <v>239</v>
      </c>
      <c r="B165" s="430" t="s">
        <v>240</v>
      </c>
      <c r="C165" s="417">
        <v>0</v>
      </c>
      <c r="D165" s="270">
        <v>578050</v>
      </c>
      <c r="E165" s="345">
        <v>0</v>
      </c>
      <c r="F165" s="262"/>
    </row>
    <row r="166" spans="1:6" ht="15" customHeight="1" x14ac:dyDescent="0.2">
      <c r="A166" s="464" t="s">
        <v>241</v>
      </c>
      <c r="B166" s="462" t="s">
        <v>242</v>
      </c>
      <c r="C166" s="417">
        <v>0</v>
      </c>
      <c r="D166" s="270">
        <v>52120</v>
      </c>
      <c r="E166" s="345">
        <v>0</v>
      </c>
      <c r="F166" s="262"/>
    </row>
    <row r="167" spans="1:6" ht="15" customHeight="1" x14ac:dyDescent="0.2">
      <c r="A167" s="465">
        <v>1901029</v>
      </c>
      <c r="B167" s="463" t="s">
        <v>243</v>
      </c>
      <c r="C167" s="414">
        <v>0</v>
      </c>
      <c r="D167" s="277">
        <v>677560</v>
      </c>
      <c r="E167" s="350">
        <v>0</v>
      </c>
      <c r="F167" s="262"/>
    </row>
    <row r="168" spans="1:6" ht="15" customHeight="1" x14ac:dyDescent="0.2">
      <c r="A168" s="334"/>
      <c r="B168" s="351" t="s">
        <v>244</v>
      </c>
      <c r="C168" s="352">
        <v>0</v>
      </c>
      <c r="D168" s="353"/>
      <c r="E168" s="354"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259"/>
    </row>
    <row r="172" spans="1:6" ht="46.5" customHeight="1" x14ac:dyDescent="0.2">
      <c r="A172" s="264" t="s">
        <v>8</v>
      </c>
      <c r="B172" s="264" t="s">
        <v>9</v>
      </c>
      <c r="C172" s="265" t="s">
        <v>10</v>
      </c>
      <c r="D172" s="310" t="s">
        <v>11</v>
      </c>
      <c r="E172" s="266" t="s">
        <v>12</v>
      </c>
      <c r="F172" s="262"/>
    </row>
    <row r="173" spans="1:6" ht="12.75" customHeight="1" x14ac:dyDescent="0.2">
      <c r="A173" s="461">
        <v>1101004</v>
      </c>
      <c r="B173" s="457" t="s">
        <v>246</v>
      </c>
      <c r="C173" s="382">
        <v>5</v>
      </c>
      <c r="D173" s="275">
        <v>14690</v>
      </c>
      <c r="E173" s="344">
        <v>73450</v>
      </c>
      <c r="F173" s="262"/>
    </row>
    <row r="174" spans="1:6" ht="12.75" customHeight="1" x14ac:dyDescent="0.2">
      <c r="A174" s="456">
        <v>1101006</v>
      </c>
      <c r="B174" s="458" t="s">
        <v>247</v>
      </c>
      <c r="C174" s="379">
        <v>0</v>
      </c>
      <c r="D174" s="270">
        <v>11740</v>
      </c>
      <c r="E174" s="345">
        <v>0</v>
      </c>
      <c r="F174" s="262"/>
    </row>
    <row r="175" spans="1:6" ht="24.75" customHeight="1" x14ac:dyDescent="0.2">
      <c r="A175" s="456" t="s">
        <v>248</v>
      </c>
      <c r="B175" s="459" t="s">
        <v>249</v>
      </c>
      <c r="C175" s="379">
        <v>697</v>
      </c>
      <c r="D175" s="270">
        <v>5030</v>
      </c>
      <c r="E175" s="345">
        <v>3505910</v>
      </c>
      <c r="F175" s="262"/>
    </row>
    <row r="176" spans="1:6" ht="24.75" customHeight="1" x14ac:dyDescent="0.2">
      <c r="A176" s="456" t="s">
        <v>250</v>
      </c>
      <c r="B176" s="459" t="s">
        <v>251</v>
      </c>
      <c r="C176" s="379">
        <v>15</v>
      </c>
      <c r="D176" s="270">
        <v>14180</v>
      </c>
      <c r="E176" s="345">
        <v>212700</v>
      </c>
      <c r="F176" s="262"/>
    </row>
    <row r="177" spans="1:6" ht="24.75" customHeight="1" x14ac:dyDescent="0.2">
      <c r="A177" s="456" t="s">
        <v>252</v>
      </c>
      <c r="B177" s="459" t="s">
        <v>253</v>
      </c>
      <c r="C177" s="379">
        <v>25</v>
      </c>
      <c r="D177" s="270">
        <v>24050</v>
      </c>
      <c r="E177" s="345">
        <v>601250</v>
      </c>
      <c r="F177" s="262"/>
    </row>
    <row r="178" spans="1:6" ht="12.75" customHeight="1" x14ac:dyDescent="0.2">
      <c r="A178" s="456" t="s">
        <v>254</v>
      </c>
      <c r="B178" s="459" t="s">
        <v>255</v>
      </c>
      <c r="C178" s="379">
        <v>0</v>
      </c>
      <c r="D178" s="270">
        <v>45920</v>
      </c>
      <c r="E178" s="345">
        <v>0</v>
      </c>
      <c r="F178" s="262"/>
    </row>
    <row r="179" spans="1:6" ht="12.75" customHeight="1" x14ac:dyDescent="0.2">
      <c r="A179" s="456" t="s">
        <v>256</v>
      </c>
      <c r="B179" s="459" t="s">
        <v>257</v>
      </c>
      <c r="C179" s="379">
        <v>157</v>
      </c>
      <c r="D179" s="270">
        <v>51180</v>
      </c>
      <c r="E179" s="345">
        <v>8035260</v>
      </c>
      <c r="F179" s="262"/>
    </row>
    <row r="180" spans="1:6" ht="24.75" customHeight="1" x14ac:dyDescent="0.2">
      <c r="A180" s="456" t="s">
        <v>258</v>
      </c>
      <c r="B180" s="459" t="s">
        <v>259</v>
      </c>
      <c r="C180" s="379">
        <v>0</v>
      </c>
      <c r="D180" s="270">
        <v>28710</v>
      </c>
      <c r="E180" s="345">
        <v>0</v>
      </c>
      <c r="F180" s="262"/>
    </row>
    <row r="181" spans="1:6" ht="12.75" customHeight="1" x14ac:dyDescent="0.2">
      <c r="A181" s="456" t="s">
        <v>260</v>
      </c>
      <c r="B181" s="460" t="s">
        <v>261</v>
      </c>
      <c r="C181" s="379">
        <v>0</v>
      </c>
      <c r="D181" s="270">
        <v>222100</v>
      </c>
      <c r="E181" s="345">
        <v>0</v>
      </c>
      <c r="F181" s="262"/>
    </row>
    <row r="182" spans="1:6" ht="12.75" customHeight="1" x14ac:dyDescent="0.2">
      <c r="A182" s="456" t="s">
        <v>262</v>
      </c>
      <c r="B182" s="459" t="s">
        <v>263</v>
      </c>
      <c r="C182" s="379">
        <v>0</v>
      </c>
      <c r="D182" s="270">
        <v>252490</v>
      </c>
      <c r="E182" s="345">
        <v>0</v>
      </c>
      <c r="F182" s="262"/>
    </row>
    <row r="183" spans="1:6" ht="12.75" customHeight="1" x14ac:dyDescent="0.2">
      <c r="A183" s="456" t="s">
        <v>264</v>
      </c>
      <c r="B183" s="459" t="s">
        <v>265</v>
      </c>
      <c r="C183" s="379">
        <v>0</v>
      </c>
      <c r="D183" s="270">
        <v>205900</v>
      </c>
      <c r="E183" s="345">
        <v>0</v>
      </c>
      <c r="F183" s="262"/>
    </row>
    <row r="184" spans="1:6" ht="24.75" customHeight="1" x14ac:dyDescent="0.2">
      <c r="A184" s="456" t="s">
        <v>266</v>
      </c>
      <c r="B184" s="460" t="s">
        <v>267</v>
      </c>
      <c r="C184" s="379">
        <v>0</v>
      </c>
      <c r="D184" s="270">
        <v>264470</v>
      </c>
      <c r="E184" s="345">
        <v>0</v>
      </c>
      <c r="F184" s="262"/>
    </row>
    <row r="185" spans="1:6" ht="24.75" customHeight="1" x14ac:dyDescent="0.2">
      <c r="A185" s="456" t="s">
        <v>268</v>
      </c>
      <c r="B185" s="460" t="s">
        <v>269</v>
      </c>
      <c r="C185" s="379">
        <v>0</v>
      </c>
      <c r="D185" s="270">
        <v>270610</v>
      </c>
      <c r="E185" s="345">
        <v>0</v>
      </c>
      <c r="F185" s="262"/>
    </row>
    <row r="186" spans="1:6" ht="24.75" customHeight="1" x14ac:dyDescent="0.2">
      <c r="A186" s="456" t="s">
        <v>270</v>
      </c>
      <c r="B186" s="460" t="s">
        <v>271</v>
      </c>
      <c r="C186" s="379">
        <v>0</v>
      </c>
      <c r="D186" s="270">
        <v>228850</v>
      </c>
      <c r="E186" s="345">
        <v>0</v>
      </c>
      <c r="F186" s="262"/>
    </row>
    <row r="187" spans="1:6" ht="12.75" customHeight="1" x14ac:dyDescent="0.2">
      <c r="A187" s="456" t="s">
        <v>272</v>
      </c>
      <c r="B187" s="460" t="s">
        <v>273</v>
      </c>
      <c r="C187" s="379">
        <v>0</v>
      </c>
      <c r="D187" s="270">
        <v>244270</v>
      </c>
      <c r="E187" s="345">
        <v>0</v>
      </c>
      <c r="F187" s="262"/>
    </row>
    <row r="188" spans="1:6" ht="12.75" customHeight="1" x14ac:dyDescent="0.2">
      <c r="A188" s="456" t="s">
        <v>274</v>
      </c>
      <c r="B188" s="460" t="s">
        <v>275</v>
      </c>
      <c r="C188" s="379">
        <v>0</v>
      </c>
      <c r="D188" s="270">
        <v>292090</v>
      </c>
      <c r="E188" s="345">
        <v>0</v>
      </c>
      <c r="F188" s="262"/>
    </row>
    <row r="189" spans="1:6" ht="24.75" customHeight="1" x14ac:dyDescent="0.2">
      <c r="A189" s="456" t="s">
        <v>276</v>
      </c>
      <c r="B189" s="459" t="s">
        <v>277</v>
      </c>
      <c r="C189" s="379">
        <v>0</v>
      </c>
      <c r="D189" s="270">
        <v>259010</v>
      </c>
      <c r="E189" s="345">
        <v>0</v>
      </c>
      <c r="F189" s="262"/>
    </row>
    <row r="190" spans="1:6" ht="24.75" customHeight="1" x14ac:dyDescent="0.2">
      <c r="A190" s="456" t="s">
        <v>278</v>
      </c>
      <c r="B190" s="460" t="s">
        <v>279</v>
      </c>
      <c r="C190" s="379">
        <v>0</v>
      </c>
      <c r="D190" s="270">
        <v>1895520</v>
      </c>
      <c r="E190" s="345">
        <v>0</v>
      </c>
      <c r="F190" s="262"/>
    </row>
    <row r="191" spans="1:6" ht="12.75" customHeight="1" x14ac:dyDescent="0.2">
      <c r="A191" s="456" t="s">
        <v>280</v>
      </c>
      <c r="B191" s="460" t="s">
        <v>281</v>
      </c>
      <c r="C191" s="379">
        <v>0</v>
      </c>
      <c r="D191" s="270">
        <v>1183940</v>
      </c>
      <c r="E191" s="345">
        <v>0</v>
      </c>
      <c r="F191" s="262"/>
    </row>
    <row r="192" spans="1:6" ht="12.75" customHeight="1" x14ac:dyDescent="0.2">
      <c r="A192" s="434" t="s">
        <v>282</v>
      </c>
      <c r="B192" s="460" t="s">
        <v>283</v>
      </c>
      <c r="C192" s="379">
        <v>0</v>
      </c>
      <c r="D192" s="270">
        <v>1145920</v>
      </c>
      <c r="E192" s="345">
        <v>0</v>
      </c>
      <c r="F192" s="262"/>
    </row>
    <row r="193" spans="1:6" ht="24.75" customHeight="1" x14ac:dyDescent="0.2">
      <c r="A193" s="456" t="s">
        <v>284</v>
      </c>
      <c r="B193" s="460" t="s">
        <v>285</v>
      </c>
      <c r="C193" s="379">
        <v>0</v>
      </c>
      <c r="D193" s="270">
        <v>1200500</v>
      </c>
      <c r="E193" s="345">
        <v>0</v>
      </c>
      <c r="F193" s="262"/>
    </row>
    <row r="194" spans="1:6" ht="12.75" customHeight="1" x14ac:dyDescent="0.2">
      <c r="A194" s="434" t="s">
        <v>286</v>
      </c>
      <c r="B194" s="460" t="s">
        <v>287</v>
      </c>
      <c r="C194" s="379">
        <v>0</v>
      </c>
      <c r="D194" s="270">
        <v>169880</v>
      </c>
      <c r="E194" s="345">
        <v>0</v>
      </c>
      <c r="F194" s="262"/>
    </row>
    <row r="195" spans="1:6" ht="12.75" customHeight="1" x14ac:dyDescent="0.2">
      <c r="A195" s="434" t="s">
        <v>288</v>
      </c>
      <c r="B195" s="460" t="s">
        <v>289</v>
      </c>
      <c r="C195" s="379">
        <v>0</v>
      </c>
      <c r="D195" s="270">
        <v>387660</v>
      </c>
      <c r="E195" s="345">
        <v>0</v>
      </c>
      <c r="F195" s="262"/>
    </row>
    <row r="196" spans="1:6" ht="12.75" customHeight="1" x14ac:dyDescent="0.2">
      <c r="A196" s="456" t="s">
        <v>290</v>
      </c>
      <c r="B196" s="460" t="s">
        <v>291</v>
      </c>
      <c r="C196" s="379">
        <v>0</v>
      </c>
      <c r="D196" s="270">
        <v>143720</v>
      </c>
      <c r="E196" s="345">
        <v>0</v>
      </c>
      <c r="F196" s="262"/>
    </row>
    <row r="197" spans="1:6" ht="12.75" customHeight="1" x14ac:dyDescent="0.2">
      <c r="A197" s="456" t="s">
        <v>292</v>
      </c>
      <c r="B197" s="460" t="s">
        <v>293</v>
      </c>
      <c r="C197" s="379">
        <v>0</v>
      </c>
      <c r="D197" s="270">
        <v>1164440</v>
      </c>
      <c r="E197" s="345">
        <v>0</v>
      </c>
      <c r="F197" s="262"/>
    </row>
    <row r="198" spans="1:6" ht="12.75" customHeight="1" x14ac:dyDescent="0.2">
      <c r="A198" s="456" t="s">
        <v>294</v>
      </c>
      <c r="B198" s="460" t="s">
        <v>295</v>
      </c>
      <c r="C198" s="379">
        <v>0</v>
      </c>
      <c r="D198" s="270">
        <v>1164440</v>
      </c>
      <c r="E198" s="345">
        <v>0</v>
      </c>
      <c r="F198" s="262"/>
    </row>
    <row r="199" spans="1:6" ht="12.75" customHeight="1" x14ac:dyDescent="0.2">
      <c r="A199" s="456">
        <v>1801001</v>
      </c>
      <c r="B199" s="458" t="s">
        <v>296</v>
      </c>
      <c r="C199" s="379">
        <v>81</v>
      </c>
      <c r="D199" s="270">
        <v>34730</v>
      </c>
      <c r="E199" s="345">
        <v>2813130</v>
      </c>
      <c r="F199" s="262"/>
    </row>
    <row r="200" spans="1:6" ht="12.75" customHeight="1" x14ac:dyDescent="0.2">
      <c r="A200" s="456">
        <v>1801003</v>
      </c>
      <c r="B200" s="460" t="s">
        <v>297</v>
      </c>
      <c r="C200" s="379">
        <v>0</v>
      </c>
      <c r="D200" s="270">
        <v>41890</v>
      </c>
      <c r="E200" s="345">
        <v>0</v>
      </c>
      <c r="F200" s="262"/>
    </row>
    <row r="201" spans="1:6" ht="12.75" customHeight="1" x14ac:dyDescent="0.2">
      <c r="A201" s="456">
        <v>1801006</v>
      </c>
      <c r="B201" s="458" t="s">
        <v>298</v>
      </c>
      <c r="C201" s="379">
        <v>11</v>
      </c>
      <c r="D201" s="270">
        <v>44620</v>
      </c>
      <c r="E201" s="345">
        <v>490820</v>
      </c>
      <c r="F201" s="262"/>
    </row>
    <row r="202" spans="1:6" ht="24.75" customHeight="1" x14ac:dyDescent="0.2">
      <c r="A202" s="456" t="s">
        <v>299</v>
      </c>
      <c r="B202" s="458" t="s">
        <v>300</v>
      </c>
      <c r="C202" s="379">
        <v>2</v>
      </c>
      <c r="D202" s="270">
        <v>9390</v>
      </c>
      <c r="E202" s="345">
        <v>18780</v>
      </c>
      <c r="F202" s="262"/>
    </row>
    <row r="203" spans="1:6" ht="24.75" customHeight="1" x14ac:dyDescent="0.2">
      <c r="A203" s="486" t="s">
        <v>301</v>
      </c>
      <c r="B203" s="488" t="s">
        <v>302</v>
      </c>
      <c r="C203" s="484">
        <v>0</v>
      </c>
      <c r="D203" s="270">
        <v>398560</v>
      </c>
      <c r="E203" s="345">
        <v>0</v>
      </c>
      <c r="F203" s="262"/>
    </row>
    <row r="204" spans="1:6" ht="24.75" customHeight="1" x14ac:dyDescent="0.2">
      <c r="A204" s="486" t="s">
        <v>303</v>
      </c>
      <c r="B204" s="488" t="s">
        <v>304</v>
      </c>
      <c r="C204" s="484">
        <v>0</v>
      </c>
      <c r="D204" s="270">
        <v>8946190</v>
      </c>
      <c r="E204" s="345">
        <v>0</v>
      </c>
      <c r="F204" s="262"/>
    </row>
    <row r="205" spans="1:6" ht="24.75" customHeight="1" x14ac:dyDescent="0.2">
      <c r="A205" s="486" t="s">
        <v>305</v>
      </c>
      <c r="B205" s="488" t="s">
        <v>306</v>
      </c>
      <c r="C205" s="484">
        <v>0</v>
      </c>
      <c r="D205" s="270">
        <v>229650</v>
      </c>
      <c r="E205" s="345">
        <v>0</v>
      </c>
      <c r="F205" s="262"/>
    </row>
    <row r="206" spans="1:6" ht="24.75" customHeight="1" x14ac:dyDescent="0.2">
      <c r="A206" s="487" t="s">
        <v>307</v>
      </c>
      <c r="B206" s="489" t="s">
        <v>308</v>
      </c>
      <c r="C206" s="485">
        <v>0</v>
      </c>
      <c r="D206" s="277">
        <v>1047210</v>
      </c>
      <c r="E206" s="350">
        <v>0</v>
      </c>
      <c r="F206" s="262"/>
    </row>
    <row r="207" spans="1:6" ht="17.25" customHeight="1" x14ac:dyDescent="0.2">
      <c r="A207" s="441"/>
      <c r="B207" s="440" t="s">
        <v>309</v>
      </c>
      <c r="C207" s="279">
        <v>993</v>
      </c>
      <c r="D207" s="348"/>
      <c r="E207" s="349">
        <v>15751300</v>
      </c>
      <c r="F207" s="262"/>
    </row>
    <row r="208" spans="1:6" ht="21.75" customHeight="1" x14ac:dyDescent="0.2">
      <c r="A208" s="262"/>
      <c r="B208" s="262"/>
      <c r="C208" s="262"/>
      <c r="D208" s="262"/>
      <c r="E208" s="262"/>
      <c r="F208" s="262"/>
    </row>
    <row r="209" spans="1:6" ht="19.5" customHeight="1" x14ac:dyDescent="0.2">
      <c r="A209" s="262"/>
      <c r="B209" s="262"/>
      <c r="C209" s="262"/>
      <c r="D209" s="262"/>
      <c r="E209" s="262"/>
      <c r="F209" s="262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259"/>
    </row>
    <row r="211" spans="1:6" ht="39.75" customHeight="1" x14ac:dyDescent="0.2">
      <c r="A211" s="264" t="s">
        <v>8</v>
      </c>
      <c r="B211" s="264" t="s">
        <v>9</v>
      </c>
      <c r="C211" s="265" t="s">
        <v>10</v>
      </c>
      <c r="D211" s="310" t="s">
        <v>11</v>
      </c>
      <c r="E211" s="266" t="s">
        <v>12</v>
      </c>
      <c r="F211" s="259"/>
    </row>
    <row r="212" spans="1:6" ht="12.75" customHeight="1" x14ac:dyDescent="0.2">
      <c r="A212" s="433" t="s">
        <v>311</v>
      </c>
      <c r="B212" s="450" t="s">
        <v>312</v>
      </c>
      <c r="C212" s="382">
        <v>0</v>
      </c>
      <c r="D212" s="275">
        <v>14530</v>
      </c>
      <c r="E212" s="344">
        <v>0</v>
      </c>
      <c r="F212" s="262"/>
    </row>
    <row r="213" spans="1:6" ht="12.75" customHeight="1" x14ac:dyDescent="0.2">
      <c r="A213" s="434" t="s">
        <v>313</v>
      </c>
      <c r="B213" s="430" t="s">
        <v>314</v>
      </c>
      <c r="C213" s="379">
        <v>45</v>
      </c>
      <c r="D213" s="270">
        <v>14530</v>
      </c>
      <c r="E213" s="345">
        <v>653850</v>
      </c>
      <c r="F213" s="262"/>
    </row>
    <row r="214" spans="1:6" ht="12.75" customHeight="1" x14ac:dyDescent="0.2">
      <c r="A214" s="434" t="s">
        <v>315</v>
      </c>
      <c r="B214" s="429" t="s">
        <v>316</v>
      </c>
      <c r="C214" s="379">
        <v>0</v>
      </c>
      <c r="D214" s="270">
        <v>1390</v>
      </c>
      <c r="E214" s="345">
        <v>0</v>
      </c>
      <c r="F214" s="262"/>
    </row>
    <row r="215" spans="1:6" ht="12.75" customHeight="1" x14ac:dyDescent="0.2">
      <c r="A215" s="434" t="s">
        <v>317</v>
      </c>
      <c r="B215" s="429" t="s">
        <v>318</v>
      </c>
      <c r="C215" s="379">
        <v>451</v>
      </c>
      <c r="D215" s="270">
        <v>680</v>
      </c>
      <c r="E215" s="345">
        <v>306680</v>
      </c>
      <c r="F215" s="262"/>
    </row>
    <row r="216" spans="1:6" ht="12.75" customHeight="1" x14ac:dyDescent="0.2">
      <c r="A216" s="434" t="s">
        <v>319</v>
      </c>
      <c r="B216" s="430" t="s">
        <v>320</v>
      </c>
      <c r="C216" s="379">
        <v>2314</v>
      </c>
      <c r="D216" s="270">
        <v>2060</v>
      </c>
      <c r="E216" s="345">
        <v>4766840</v>
      </c>
      <c r="F216" s="262"/>
    </row>
    <row r="217" spans="1:6" ht="12.75" customHeight="1" x14ac:dyDescent="0.2">
      <c r="A217" s="434" t="s">
        <v>321</v>
      </c>
      <c r="B217" s="430" t="s">
        <v>322</v>
      </c>
      <c r="C217" s="379">
        <v>66</v>
      </c>
      <c r="D217" s="270">
        <v>15480</v>
      </c>
      <c r="E217" s="345">
        <v>1021680</v>
      </c>
      <c r="F217" s="262"/>
    </row>
    <row r="218" spans="1:6" ht="12.75" customHeight="1" x14ac:dyDescent="0.2">
      <c r="A218" s="434" t="s">
        <v>323</v>
      </c>
      <c r="B218" s="429" t="s">
        <v>324</v>
      </c>
      <c r="C218" s="379">
        <v>108</v>
      </c>
      <c r="D218" s="270">
        <v>35550</v>
      </c>
      <c r="E218" s="345">
        <v>3839400</v>
      </c>
      <c r="F218" s="262"/>
    </row>
    <row r="219" spans="1:6" ht="12.75" customHeight="1" x14ac:dyDescent="0.2">
      <c r="A219" s="456" t="s">
        <v>325</v>
      </c>
      <c r="B219" s="429" t="s">
        <v>326</v>
      </c>
      <c r="C219" s="379">
        <v>20</v>
      </c>
      <c r="D219" s="356"/>
      <c r="E219" s="345">
        <v>177400</v>
      </c>
      <c r="F219" s="262"/>
    </row>
    <row r="220" spans="1:6" ht="12.75" customHeight="1" x14ac:dyDescent="0.2">
      <c r="A220" s="435" t="s">
        <v>327</v>
      </c>
      <c r="B220" s="431" t="s">
        <v>328</v>
      </c>
      <c r="C220" s="394">
        <v>30</v>
      </c>
      <c r="D220" s="277">
        <v>28810</v>
      </c>
      <c r="E220" s="350">
        <v>864300</v>
      </c>
      <c r="F220" s="262"/>
    </row>
    <row r="221" spans="1:6" ht="12.75" x14ac:dyDescent="0.2">
      <c r="A221" s="441"/>
      <c r="B221" s="440" t="s">
        <v>329</v>
      </c>
      <c r="C221" s="279">
        <v>3034</v>
      </c>
      <c r="D221" s="348"/>
      <c r="E221" s="355">
        <v>11630150</v>
      </c>
      <c r="F221" s="262"/>
    </row>
    <row r="222" spans="1:6" ht="17.25" customHeight="1" x14ac:dyDescent="0.2">
      <c r="A222" s="262"/>
      <c r="B222" s="262"/>
      <c r="C222" s="262"/>
      <c r="D222" s="262"/>
      <c r="E222" s="262"/>
      <c r="F222" s="262"/>
    </row>
    <row r="223" spans="1:6" ht="18" customHeight="1" x14ac:dyDescent="0.2">
      <c r="A223" s="262"/>
      <c r="B223" s="262"/>
      <c r="C223" s="262"/>
      <c r="D223" s="262"/>
      <c r="E223" s="262"/>
      <c r="F223" s="262"/>
    </row>
    <row r="224" spans="1:6" ht="27.75" customHeight="1" x14ac:dyDescent="0.2">
      <c r="A224" s="765" t="s">
        <v>330</v>
      </c>
      <c r="B224" s="766"/>
      <c r="C224" s="767"/>
      <c r="D224" s="262"/>
      <c r="E224" s="262"/>
      <c r="F224" s="259"/>
    </row>
    <row r="225" spans="1:7" ht="42.75" customHeight="1" x14ac:dyDescent="0.2">
      <c r="A225" s="264" t="s">
        <v>8</v>
      </c>
      <c r="B225" s="264" t="s">
        <v>10</v>
      </c>
      <c r="C225" s="264" t="s">
        <v>12</v>
      </c>
      <c r="D225" s="259"/>
      <c r="E225" s="262"/>
      <c r="F225" s="262"/>
      <c r="G225" s="255"/>
    </row>
    <row r="226" spans="1:7" ht="15" customHeight="1" x14ac:dyDescent="0.2">
      <c r="A226" s="433" t="s">
        <v>331</v>
      </c>
      <c r="B226" s="451" t="s">
        <v>332</v>
      </c>
      <c r="C226" s="357"/>
      <c r="D226" s="358"/>
      <c r="E226" s="262"/>
      <c r="F226" s="262"/>
      <c r="G226" s="255"/>
    </row>
    <row r="227" spans="1:7" ht="15" customHeight="1" x14ac:dyDescent="0.2">
      <c r="A227" s="454" t="s">
        <v>333</v>
      </c>
      <c r="B227" s="452" t="s">
        <v>334</v>
      </c>
      <c r="C227" s="359"/>
      <c r="D227" s="358"/>
      <c r="E227" s="262"/>
      <c r="F227" s="262"/>
      <c r="G227" s="255"/>
    </row>
    <row r="228" spans="1:7" ht="18" customHeight="1" x14ac:dyDescent="0.2">
      <c r="A228" s="455"/>
      <c r="B228" s="453" t="s">
        <v>335</v>
      </c>
      <c r="C228" s="415">
        <v>0</v>
      </c>
      <c r="D228" s="358"/>
      <c r="E228" s="262"/>
      <c r="F228" s="262"/>
      <c r="G228" s="255"/>
    </row>
    <row r="229" spans="1:7" ht="18" customHeight="1" x14ac:dyDescent="0.2">
      <c r="A229" s="262"/>
      <c r="B229" s="262"/>
      <c r="C229" s="262"/>
      <c r="D229" s="358"/>
      <c r="E229" s="358"/>
      <c r="F229" s="358"/>
      <c r="G229" s="255"/>
    </row>
    <row r="230" spans="1:7" ht="18" customHeight="1" x14ac:dyDescent="0.2">
      <c r="A230" s="262"/>
      <c r="B230" s="262"/>
      <c r="C230" s="262"/>
      <c r="D230" s="262"/>
      <c r="E230" s="262"/>
      <c r="F230" s="358"/>
      <c r="G230" s="360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358"/>
      <c r="G231" s="360"/>
    </row>
    <row r="232" spans="1:7" ht="56.25" customHeight="1" x14ac:dyDescent="0.2">
      <c r="A232" s="264" t="s">
        <v>8</v>
      </c>
      <c r="B232" s="264" t="s">
        <v>9</v>
      </c>
      <c r="C232" s="265" t="s">
        <v>10</v>
      </c>
      <c r="D232" s="310" t="s">
        <v>11</v>
      </c>
      <c r="E232" s="266" t="s">
        <v>12</v>
      </c>
      <c r="F232" s="358"/>
      <c r="G232" s="360"/>
    </row>
    <row r="233" spans="1:7" ht="15" customHeight="1" x14ac:dyDescent="0.2">
      <c r="A233" s="433" t="s">
        <v>337</v>
      </c>
      <c r="B233" s="450" t="s">
        <v>338</v>
      </c>
      <c r="C233" s="413">
        <v>301</v>
      </c>
      <c r="D233" s="275">
        <v>19890</v>
      </c>
      <c r="E233" s="344">
        <v>5986890</v>
      </c>
      <c r="F233" s="262"/>
      <c r="G233" s="255"/>
    </row>
    <row r="234" spans="1:7" ht="15" customHeight="1" x14ac:dyDescent="0.2">
      <c r="A234" s="435" t="s">
        <v>339</v>
      </c>
      <c r="B234" s="431" t="s">
        <v>340</v>
      </c>
      <c r="C234" s="414">
        <v>0</v>
      </c>
      <c r="D234" s="277">
        <v>249320</v>
      </c>
      <c r="E234" s="350">
        <v>0</v>
      </c>
      <c r="F234" s="262"/>
      <c r="G234" s="255"/>
    </row>
    <row r="235" spans="1:7" ht="18" customHeight="1" x14ac:dyDescent="0.2">
      <c r="A235" s="441"/>
      <c r="B235" s="440" t="s">
        <v>341</v>
      </c>
      <c r="C235" s="279">
        <v>301</v>
      </c>
      <c r="D235" s="348"/>
      <c r="E235" s="349">
        <v>5986890</v>
      </c>
      <c r="F235" s="262"/>
      <c r="G235" s="255"/>
    </row>
    <row r="236" spans="1:7" ht="18" customHeight="1" x14ac:dyDescent="0.2">
      <c r="A236" s="361"/>
      <c r="B236" s="362"/>
      <c r="C236" s="363"/>
      <c r="D236" s="361"/>
      <c r="E236" s="361"/>
      <c r="F236" s="262"/>
      <c r="G236" s="255"/>
    </row>
    <row r="237" spans="1:7" ht="18" customHeight="1" x14ac:dyDescent="0.2">
      <c r="A237" s="361"/>
      <c r="B237" s="362"/>
      <c r="C237" s="363"/>
      <c r="D237" s="361"/>
      <c r="E237" s="361"/>
      <c r="F237" s="262"/>
      <c r="G237" s="255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262"/>
      <c r="G238" s="255"/>
    </row>
    <row r="239" spans="1:7" ht="41.25" customHeight="1" x14ac:dyDescent="0.2">
      <c r="A239" s="264" t="s">
        <v>8</v>
      </c>
      <c r="B239" s="264" t="s">
        <v>9</v>
      </c>
      <c r="C239" s="265" t="s">
        <v>10</v>
      </c>
      <c r="D239" s="310" t="s">
        <v>11</v>
      </c>
      <c r="E239" s="266" t="s">
        <v>12</v>
      </c>
      <c r="F239" s="262"/>
      <c r="G239" s="255"/>
    </row>
    <row r="240" spans="1:7" ht="18" customHeight="1" x14ac:dyDescent="0.2">
      <c r="A240" s="341" t="s">
        <v>343</v>
      </c>
      <c r="B240" s="287" t="s">
        <v>344</v>
      </c>
      <c r="C240" s="364">
        <v>615</v>
      </c>
      <c r="D240" s="365"/>
      <c r="E240" s="366">
        <v>4386680</v>
      </c>
      <c r="F240" s="262"/>
      <c r="G240" s="255"/>
    </row>
    <row r="241" spans="1:6" ht="18" customHeight="1" x14ac:dyDescent="0.2">
      <c r="A241" s="361"/>
      <c r="B241" s="362"/>
      <c r="C241" s="363"/>
      <c r="D241" s="361"/>
      <c r="E241" s="361"/>
      <c r="F241" s="262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262"/>
    </row>
    <row r="243" spans="1:6" ht="43.5" customHeight="1" x14ac:dyDescent="0.2">
      <c r="A243" s="264" t="s">
        <v>8</v>
      </c>
      <c r="B243" s="265" t="s">
        <v>346</v>
      </c>
      <c r="C243" s="309" t="s">
        <v>347</v>
      </c>
      <c r="D243" s="310" t="s">
        <v>11</v>
      </c>
      <c r="E243" s="266" t="s">
        <v>12</v>
      </c>
      <c r="F243" s="262"/>
    </row>
    <row r="244" spans="1:6" ht="15" customHeight="1" x14ac:dyDescent="0.2">
      <c r="A244" s="274" t="s">
        <v>348</v>
      </c>
      <c r="B244" s="396" t="s">
        <v>349</v>
      </c>
      <c r="C244" s="382">
        <v>0</v>
      </c>
      <c r="D244" s="275">
        <v>254650</v>
      </c>
      <c r="E244" s="344">
        <v>0</v>
      </c>
      <c r="F244" s="262"/>
    </row>
    <row r="245" spans="1:6" ht="15" customHeight="1" x14ac:dyDescent="0.2">
      <c r="A245" s="269" t="s">
        <v>350</v>
      </c>
      <c r="B245" s="397" t="s">
        <v>351</v>
      </c>
      <c r="C245" s="379">
        <v>0</v>
      </c>
      <c r="D245" s="270">
        <v>36180</v>
      </c>
      <c r="E245" s="345">
        <v>0</v>
      </c>
      <c r="F245" s="262"/>
    </row>
    <row r="246" spans="1:6" ht="15" customHeight="1" x14ac:dyDescent="0.2">
      <c r="A246" s="269" t="s">
        <v>352</v>
      </c>
      <c r="B246" s="397" t="s">
        <v>353</v>
      </c>
      <c r="C246" s="379">
        <v>0</v>
      </c>
      <c r="D246" s="270">
        <v>136500</v>
      </c>
      <c r="E246" s="345">
        <v>0</v>
      </c>
      <c r="F246" s="262"/>
    </row>
    <row r="247" spans="1:6" ht="15" customHeight="1" x14ac:dyDescent="0.2">
      <c r="A247" s="269" t="s">
        <v>354</v>
      </c>
      <c r="B247" s="397" t="s">
        <v>355</v>
      </c>
      <c r="C247" s="379">
        <v>0</v>
      </c>
      <c r="D247" s="270">
        <v>136500</v>
      </c>
      <c r="E247" s="345">
        <v>0</v>
      </c>
      <c r="F247" s="262"/>
    </row>
    <row r="248" spans="1:6" ht="15" customHeight="1" x14ac:dyDescent="0.2">
      <c r="A248" s="269" t="s">
        <v>356</v>
      </c>
      <c r="B248" s="397" t="s">
        <v>357</v>
      </c>
      <c r="C248" s="379">
        <v>0</v>
      </c>
      <c r="D248" s="270">
        <v>248500</v>
      </c>
      <c r="E248" s="345">
        <v>0</v>
      </c>
      <c r="F248" s="262"/>
    </row>
    <row r="249" spans="1:6" ht="15" customHeight="1" x14ac:dyDescent="0.2">
      <c r="A249" s="269" t="s">
        <v>358</v>
      </c>
      <c r="B249" s="397" t="s">
        <v>359</v>
      </c>
      <c r="C249" s="379">
        <v>0</v>
      </c>
      <c r="D249" s="270">
        <v>381350</v>
      </c>
      <c r="E249" s="345">
        <v>0</v>
      </c>
      <c r="F249" s="262"/>
    </row>
    <row r="250" spans="1:6" ht="15" customHeight="1" x14ac:dyDescent="0.2">
      <c r="A250" s="269" t="s">
        <v>360</v>
      </c>
      <c r="B250" s="397" t="s">
        <v>361</v>
      </c>
      <c r="C250" s="379">
        <v>0</v>
      </c>
      <c r="D250" s="270">
        <v>650560</v>
      </c>
      <c r="E250" s="345">
        <v>0</v>
      </c>
      <c r="F250" s="262"/>
    </row>
    <row r="251" spans="1:6" ht="15" customHeight="1" x14ac:dyDescent="0.2">
      <c r="A251" s="292" t="s">
        <v>362</v>
      </c>
      <c r="B251" s="397" t="s">
        <v>363</v>
      </c>
      <c r="C251" s="379">
        <v>0</v>
      </c>
      <c r="D251" s="270">
        <v>135500</v>
      </c>
      <c r="E251" s="345">
        <v>0</v>
      </c>
      <c r="F251" s="262"/>
    </row>
    <row r="252" spans="1:6" ht="15" customHeight="1" x14ac:dyDescent="0.2">
      <c r="A252" s="292" t="s">
        <v>364</v>
      </c>
      <c r="B252" s="397" t="s">
        <v>365</v>
      </c>
      <c r="C252" s="379">
        <v>0</v>
      </c>
      <c r="D252" s="270">
        <v>365200</v>
      </c>
      <c r="E252" s="345">
        <v>0</v>
      </c>
      <c r="F252" s="262"/>
    </row>
    <row r="253" spans="1:6" ht="15" customHeight="1" x14ac:dyDescent="0.2">
      <c r="A253" s="292" t="s">
        <v>366</v>
      </c>
      <c r="B253" s="397" t="s">
        <v>367</v>
      </c>
      <c r="C253" s="409">
        <v>0</v>
      </c>
      <c r="D253" s="272">
        <v>153770</v>
      </c>
      <c r="E253" s="367">
        <v>0</v>
      </c>
      <c r="F253" s="262"/>
    </row>
    <row r="254" spans="1:6" ht="15" customHeight="1" x14ac:dyDescent="0.2">
      <c r="A254" s="292" t="s">
        <v>368</v>
      </c>
      <c r="B254" s="397" t="s">
        <v>369</v>
      </c>
      <c r="C254" s="409">
        <v>0</v>
      </c>
      <c r="D254" s="272">
        <v>133620</v>
      </c>
      <c r="E254" s="367">
        <v>0</v>
      </c>
      <c r="F254" s="262"/>
    </row>
    <row r="255" spans="1:6" ht="15" customHeight="1" x14ac:dyDescent="0.2">
      <c r="A255" s="292" t="s">
        <v>370</v>
      </c>
      <c r="B255" s="397" t="s">
        <v>371</v>
      </c>
      <c r="C255" s="409">
        <v>0</v>
      </c>
      <c r="D255" s="272">
        <v>203150</v>
      </c>
      <c r="E255" s="367">
        <v>0</v>
      </c>
      <c r="F255" s="262"/>
    </row>
    <row r="256" spans="1:6" ht="15" customHeight="1" x14ac:dyDescent="0.2">
      <c r="A256" s="292" t="s">
        <v>372</v>
      </c>
      <c r="B256" s="397" t="s">
        <v>373</v>
      </c>
      <c r="C256" s="409">
        <v>0</v>
      </c>
      <c r="D256" s="272">
        <v>53460</v>
      </c>
      <c r="E256" s="367">
        <v>0</v>
      </c>
      <c r="F256" s="262"/>
    </row>
    <row r="257" spans="1:6" ht="15" customHeight="1" x14ac:dyDescent="0.2">
      <c r="A257" s="327" t="s">
        <v>374</v>
      </c>
      <c r="B257" s="408" t="s">
        <v>375</v>
      </c>
      <c r="C257" s="394">
        <v>0</v>
      </c>
      <c r="D257" s="277">
        <v>39950</v>
      </c>
      <c r="E257" s="350">
        <v>0</v>
      </c>
      <c r="F257" s="262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262"/>
    </row>
    <row r="259" spans="1:6" ht="15" customHeight="1" x14ac:dyDescent="0.2">
      <c r="A259" s="433" t="s">
        <v>377</v>
      </c>
      <c r="B259" s="447" t="s">
        <v>349</v>
      </c>
      <c r="C259" s="382">
        <v>0</v>
      </c>
      <c r="D259" s="275">
        <v>219080</v>
      </c>
      <c r="E259" s="344">
        <v>0</v>
      </c>
      <c r="F259" s="262"/>
    </row>
    <row r="260" spans="1:6" ht="15" customHeight="1" x14ac:dyDescent="0.2">
      <c r="A260" s="434" t="s">
        <v>378</v>
      </c>
      <c r="B260" s="448" t="s">
        <v>379</v>
      </c>
      <c r="C260" s="379">
        <v>0</v>
      </c>
      <c r="D260" s="270">
        <v>1303250</v>
      </c>
      <c r="E260" s="345">
        <v>0</v>
      </c>
      <c r="F260" s="262"/>
    </row>
    <row r="261" spans="1:6" ht="15" customHeight="1" x14ac:dyDescent="0.2">
      <c r="A261" s="434" t="s">
        <v>380</v>
      </c>
      <c r="B261" s="448" t="s">
        <v>381</v>
      </c>
      <c r="C261" s="379">
        <v>0</v>
      </c>
      <c r="D261" s="270">
        <v>196630</v>
      </c>
      <c r="E261" s="345">
        <v>0</v>
      </c>
      <c r="F261" s="262"/>
    </row>
    <row r="262" spans="1:6" ht="15" customHeight="1" x14ac:dyDescent="0.2">
      <c r="A262" s="434" t="s">
        <v>382</v>
      </c>
      <c r="B262" s="448" t="s">
        <v>383</v>
      </c>
      <c r="C262" s="379">
        <v>0</v>
      </c>
      <c r="D262" s="270">
        <v>173880</v>
      </c>
      <c r="E262" s="345">
        <v>0</v>
      </c>
      <c r="F262" s="262"/>
    </row>
    <row r="263" spans="1:6" ht="15" customHeight="1" x14ac:dyDescent="0.2">
      <c r="A263" s="434" t="s">
        <v>384</v>
      </c>
      <c r="B263" s="448" t="s">
        <v>385</v>
      </c>
      <c r="C263" s="379">
        <v>0</v>
      </c>
      <c r="D263" s="270">
        <v>352980</v>
      </c>
      <c r="E263" s="345">
        <v>0</v>
      </c>
      <c r="F263" s="262"/>
    </row>
    <row r="264" spans="1:6" ht="15" customHeight="1" x14ac:dyDescent="0.2">
      <c r="A264" s="434" t="s">
        <v>386</v>
      </c>
      <c r="B264" s="448" t="s">
        <v>387</v>
      </c>
      <c r="C264" s="379">
        <v>0</v>
      </c>
      <c r="D264" s="270">
        <v>1173780</v>
      </c>
      <c r="E264" s="345">
        <v>0</v>
      </c>
      <c r="F264" s="262"/>
    </row>
    <row r="265" spans="1:6" ht="15" customHeight="1" x14ac:dyDescent="0.2">
      <c r="A265" s="434" t="s">
        <v>388</v>
      </c>
      <c r="B265" s="448" t="s">
        <v>389</v>
      </c>
      <c r="C265" s="379">
        <v>0</v>
      </c>
      <c r="D265" s="270">
        <v>1206250</v>
      </c>
      <c r="E265" s="345">
        <v>0</v>
      </c>
      <c r="F265" s="262"/>
    </row>
    <row r="266" spans="1:6" ht="15" customHeight="1" x14ac:dyDescent="0.2">
      <c r="A266" s="434" t="s">
        <v>390</v>
      </c>
      <c r="B266" s="448" t="s">
        <v>391</v>
      </c>
      <c r="C266" s="379">
        <v>0</v>
      </c>
      <c r="D266" s="270">
        <v>955090</v>
      </c>
      <c r="E266" s="345">
        <v>0</v>
      </c>
      <c r="F266" s="262"/>
    </row>
    <row r="267" spans="1:6" ht="15" customHeight="1" x14ac:dyDescent="0.2">
      <c r="A267" s="434" t="s">
        <v>392</v>
      </c>
      <c r="B267" s="448" t="s">
        <v>393</v>
      </c>
      <c r="C267" s="379">
        <v>0</v>
      </c>
      <c r="D267" s="270">
        <v>1006570</v>
      </c>
      <c r="E267" s="345">
        <v>0</v>
      </c>
      <c r="F267" s="262"/>
    </row>
    <row r="268" spans="1:6" ht="15" customHeight="1" x14ac:dyDescent="0.2">
      <c r="A268" s="434" t="s">
        <v>394</v>
      </c>
      <c r="B268" s="448" t="s">
        <v>395</v>
      </c>
      <c r="C268" s="379">
        <v>0</v>
      </c>
      <c r="D268" s="270">
        <v>397090</v>
      </c>
      <c r="E268" s="345">
        <v>0</v>
      </c>
      <c r="F268" s="262"/>
    </row>
    <row r="269" spans="1:6" ht="15" customHeight="1" x14ac:dyDescent="0.2">
      <c r="A269" s="434" t="s">
        <v>396</v>
      </c>
      <c r="B269" s="448" t="s">
        <v>397</v>
      </c>
      <c r="C269" s="379">
        <v>0</v>
      </c>
      <c r="D269" s="270">
        <v>95100</v>
      </c>
      <c r="E269" s="345">
        <v>0</v>
      </c>
      <c r="F269" s="262"/>
    </row>
    <row r="270" spans="1:6" ht="15" customHeight="1" x14ac:dyDescent="0.2">
      <c r="A270" s="434" t="s">
        <v>398</v>
      </c>
      <c r="B270" s="448" t="s">
        <v>399</v>
      </c>
      <c r="C270" s="379">
        <v>0</v>
      </c>
      <c r="D270" s="270">
        <v>283710</v>
      </c>
      <c r="E270" s="345">
        <v>0</v>
      </c>
      <c r="F270" s="262"/>
    </row>
    <row r="271" spans="1:6" ht="15" customHeight="1" x14ac:dyDescent="0.2">
      <c r="A271" s="434" t="s">
        <v>400</v>
      </c>
      <c r="B271" s="430" t="s">
        <v>401</v>
      </c>
      <c r="C271" s="379">
        <v>0</v>
      </c>
      <c r="D271" s="270">
        <v>80220</v>
      </c>
      <c r="E271" s="345">
        <v>0</v>
      </c>
      <c r="F271" s="262"/>
    </row>
    <row r="272" spans="1:6" ht="15" customHeight="1" x14ac:dyDescent="0.2">
      <c r="A272" s="434" t="s">
        <v>402</v>
      </c>
      <c r="B272" s="430" t="s">
        <v>403</v>
      </c>
      <c r="C272" s="379">
        <v>0</v>
      </c>
      <c r="D272" s="270">
        <v>1378400</v>
      </c>
      <c r="E272" s="345">
        <v>0</v>
      </c>
      <c r="F272" s="262"/>
    </row>
    <row r="273" spans="1:10" ht="15" customHeight="1" x14ac:dyDescent="0.2">
      <c r="A273" s="434" t="s">
        <v>404</v>
      </c>
      <c r="B273" s="430" t="s">
        <v>405</v>
      </c>
      <c r="C273" s="379">
        <v>0</v>
      </c>
      <c r="D273" s="270">
        <v>322300</v>
      </c>
      <c r="E273" s="345">
        <v>0</v>
      </c>
      <c r="F273" s="262"/>
      <c r="G273" s="255"/>
      <c r="H273" s="255"/>
      <c r="I273" s="255"/>
      <c r="J273" s="255"/>
    </row>
    <row r="274" spans="1:10" ht="15" customHeight="1" x14ac:dyDescent="0.2">
      <c r="A274" s="434" t="s">
        <v>406</v>
      </c>
      <c r="B274" s="430" t="s">
        <v>407</v>
      </c>
      <c r="C274" s="379">
        <v>0</v>
      </c>
      <c r="D274" s="270">
        <v>1079720</v>
      </c>
      <c r="E274" s="345">
        <v>0</v>
      </c>
      <c r="F274" s="262"/>
      <c r="G274" s="255"/>
      <c r="H274" s="255"/>
      <c r="I274" s="255"/>
      <c r="J274" s="255"/>
    </row>
    <row r="275" spans="1:10" ht="15" customHeight="1" x14ac:dyDescent="0.2">
      <c r="A275" s="434" t="s">
        <v>408</v>
      </c>
      <c r="B275" s="449" t="s">
        <v>409</v>
      </c>
      <c r="C275" s="379">
        <v>0</v>
      </c>
      <c r="D275" s="270">
        <v>661000</v>
      </c>
      <c r="E275" s="345">
        <v>0</v>
      </c>
      <c r="F275" s="262"/>
      <c r="G275" s="255"/>
      <c r="H275" s="255"/>
      <c r="I275" s="255"/>
      <c r="J275" s="255"/>
    </row>
    <row r="276" spans="1:10" ht="15" customHeight="1" x14ac:dyDescent="0.2">
      <c r="A276" s="435" t="s">
        <v>410</v>
      </c>
      <c r="B276" s="449" t="s">
        <v>411</v>
      </c>
      <c r="C276" s="394">
        <v>0</v>
      </c>
      <c r="D276" s="272">
        <v>539420</v>
      </c>
      <c r="E276" s="367">
        <v>0</v>
      </c>
      <c r="F276" s="262"/>
      <c r="G276" s="255"/>
      <c r="H276" s="255"/>
      <c r="I276" s="255"/>
      <c r="J276" s="255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262"/>
      <c r="G277" s="255"/>
      <c r="H277" s="255"/>
      <c r="I277" s="255"/>
      <c r="J277" s="255"/>
    </row>
    <row r="278" spans="1:10" ht="15" customHeight="1" x14ac:dyDescent="0.2">
      <c r="A278" s="433" t="s">
        <v>413</v>
      </c>
      <c r="B278" s="442" t="s">
        <v>414</v>
      </c>
      <c r="C278" s="411">
        <v>0</v>
      </c>
      <c r="D278" s="267">
        <v>290780</v>
      </c>
      <c r="E278" s="368">
        <v>0</v>
      </c>
      <c r="F278" s="262"/>
      <c r="G278" s="255"/>
      <c r="H278" s="255"/>
      <c r="I278" s="255"/>
      <c r="J278" s="255"/>
    </row>
    <row r="279" spans="1:10" ht="15" customHeight="1" x14ac:dyDescent="0.2">
      <c r="A279" s="434" t="s">
        <v>415</v>
      </c>
      <c r="B279" s="430" t="s">
        <v>416</v>
      </c>
      <c r="C279" s="379">
        <v>0</v>
      </c>
      <c r="D279" s="270">
        <v>169530</v>
      </c>
      <c r="E279" s="345">
        <v>0</v>
      </c>
      <c r="F279" s="262"/>
      <c r="G279" s="255"/>
      <c r="H279" s="255"/>
      <c r="I279" s="255"/>
      <c r="J279" s="255"/>
    </row>
    <row r="280" spans="1:10" ht="15" customHeight="1" x14ac:dyDescent="0.2">
      <c r="A280" s="434" t="s">
        <v>417</v>
      </c>
      <c r="B280" s="430" t="s">
        <v>418</v>
      </c>
      <c r="C280" s="379">
        <v>0</v>
      </c>
      <c r="D280" s="270">
        <v>409630</v>
      </c>
      <c r="E280" s="345">
        <v>0</v>
      </c>
      <c r="F280" s="262"/>
      <c r="G280" s="255"/>
      <c r="H280" s="255"/>
      <c r="I280" s="255"/>
      <c r="J280" s="255"/>
    </row>
    <row r="281" spans="1:10" ht="15" customHeight="1" x14ac:dyDescent="0.2">
      <c r="A281" s="434" t="s">
        <v>419</v>
      </c>
      <c r="B281" s="430" t="s">
        <v>420</v>
      </c>
      <c r="C281" s="379">
        <v>0</v>
      </c>
      <c r="D281" s="270">
        <v>424500</v>
      </c>
      <c r="E281" s="345">
        <v>0</v>
      </c>
      <c r="F281" s="262"/>
      <c r="G281" s="255"/>
      <c r="H281" s="255"/>
      <c r="I281" s="255"/>
      <c r="J281" s="255"/>
    </row>
    <row r="282" spans="1:10" ht="15" customHeight="1" x14ac:dyDescent="0.2">
      <c r="A282" s="435" t="s">
        <v>421</v>
      </c>
      <c r="B282" s="443" t="s">
        <v>422</v>
      </c>
      <c r="C282" s="394">
        <v>0</v>
      </c>
      <c r="D282" s="277">
        <v>265260</v>
      </c>
      <c r="E282" s="350">
        <v>0</v>
      </c>
      <c r="F282" s="369"/>
      <c r="G282" s="255"/>
      <c r="H282" s="255"/>
      <c r="I282" s="255"/>
      <c r="J282" s="255"/>
    </row>
    <row r="283" spans="1:10" ht="15" customHeight="1" x14ac:dyDescent="0.2">
      <c r="A283" s="446" t="s">
        <v>423</v>
      </c>
      <c r="B283" s="444" t="s">
        <v>424</v>
      </c>
      <c r="C283" s="412">
        <v>111</v>
      </c>
      <c r="D283" s="370">
        <v>36070</v>
      </c>
      <c r="E283" s="366">
        <v>4003770</v>
      </c>
      <c r="F283" s="369"/>
      <c r="G283" s="255"/>
      <c r="H283" s="255"/>
      <c r="I283" s="255"/>
      <c r="J283" s="255"/>
    </row>
    <row r="284" spans="1:10" ht="15" customHeight="1" x14ac:dyDescent="0.2">
      <c r="A284" s="441"/>
      <c r="B284" s="445" t="s">
        <v>425</v>
      </c>
      <c r="C284" s="279">
        <v>111</v>
      </c>
      <c r="D284" s="348"/>
      <c r="E284" s="349">
        <v>4003770</v>
      </c>
      <c r="F284" s="369"/>
      <c r="G284" s="255"/>
      <c r="H284" s="255"/>
      <c r="I284" s="255"/>
      <c r="J284" s="255"/>
    </row>
    <row r="285" spans="1:10" ht="18" customHeight="1" x14ac:dyDescent="0.2">
      <c r="A285" s="361"/>
      <c r="B285" s="262"/>
      <c r="C285" s="262"/>
      <c r="D285" s="361"/>
      <c r="E285" s="361"/>
      <c r="F285" s="262"/>
      <c r="G285" s="255"/>
      <c r="H285" s="255"/>
      <c r="I285" s="255"/>
      <c r="J285" s="255"/>
    </row>
    <row r="286" spans="1:10" ht="18" customHeight="1" x14ac:dyDescent="0.2">
      <c r="A286" s="361"/>
      <c r="B286" s="363"/>
      <c r="C286" s="363"/>
      <c r="D286" s="361"/>
      <c r="E286" s="361"/>
      <c r="F286" s="371"/>
      <c r="G286" s="372"/>
      <c r="H286" s="255"/>
      <c r="I286" s="255"/>
      <c r="J286" s="373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262"/>
      <c r="G287" s="255"/>
      <c r="H287" s="255"/>
      <c r="I287" s="255"/>
      <c r="J287" s="255"/>
    </row>
    <row r="288" spans="1:10" ht="44.25" customHeight="1" x14ac:dyDescent="0.2">
      <c r="A288" s="264" t="s">
        <v>8</v>
      </c>
      <c r="B288" s="264" t="s">
        <v>426</v>
      </c>
      <c r="C288" s="265" t="s">
        <v>347</v>
      </c>
      <c r="D288" s="310" t="s">
        <v>11</v>
      </c>
      <c r="E288" s="266" t="s">
        <v>12</v>
      </c>
      <c r="F288" s="369"/>
      <c r="G288" s="255"/>
      <c r="H288" s="255"/>
      <c r="I288" s="255"/>
      <c r="J288" s="255"/>
    </row>
    <row r="289" spans="1:7" ht="15" customHeight="1" x14ac:dyDescent="0.2">
      <c r="A289" s="433" t="s">
        <v>427</v>
      </c>
      <c r="B289" s="437" t="s">
        <v>428</v>
      </c>
      <c r="C289" s="382">
        <v>4</v>
      </c>
      <c r="D289" s="275">
        <v>7100</v>
      </c>
      <c r="E289" s="344">
        <v>28400</v>
      </c>
      <c r="F289" s="262"/>
      <c r="G289" s="255"/>
    </row>
    <row r="290" spans="1:7" ht="15" customHeight="1" x14ac:dyDescent="0.2">
      <c r="A290" s="434" t="s">
        <v>429</v>
      </c>
      <c r="B290" s="438" t="s">
        <v>430</v>
      </c>
      <c r="C290" s="379">
        <v>0</v>
      </c>
      <c r="D290" s="270">
        <v>3780</v>
      </c>
      <c r="E290" s="345">
        <v>0</v>
      </c>
      <c r="F290" s="262"/>
      <c r="G290" s="255"/>
    </row>
    <row r="291" spans="1:7" ht="15" customHeight="1" x14ac:dyDescent="0.2">
      <c r="A291" s="434" t="s">
        <v>431</v>
      </c>
      <c r="B291" s="438" t="s">
        <v>432</v>
      </c>
      <c r="C291" s="379">
        <v>2</v>
      </c>
      <c r="D291" s="270">
        <v>14240</v>
      </c>
      <c r="E291" s="345">
        <v>28480</v>
      </c>
      <c r="F291" s="262"/>
      <c r="G291" s="255"/>
    </row>
    <row r="292" spans="1:7" ht="15" customHeight="1" x14ac:dyDescent="0.2">
      <c r="A292" s="434" t="s">
        <v>433</v>
      </c>
      <c r="B292" s="438" t="s">
        <v>434</v>
      </c>
      <c r="C292" s="379">
        <v>0</v>
      </c>
      <c r="D292" s="270">
        <v>146040</v>
      </c>
      <c r="E292" s="345">
        <v>0</v>
      </c>
      <c r="F292" s="262"/>
      <c r="G292" s="255"/>
    </row>
    <row r="293" spans="1:7" ht="15" customHeight="1" x14ac:dyDescent="0.2">
      <c r="A293" s="435" t="s">
        <v>435</v>
      </c>
      <c r="B293" s="439" t="s">
        <v>436</v>
      </c>
      <c r="C293" s="394">
        <v>0</v>
      </c>
      <c r="D293" s="277">
        <v>802130</v>
      </c>
      <c r="E293" s="350">
        <v>0</v>
      </c>
      <c r="F293" s="262"/>
      <c r="G293" s="255"/>
    </row>
    <row r="294" spans="1:7" ht="15" customHeight="1" x14ac:dyDescent="0.2">
      <c r="A294" s="441"/>
      <c r="B294" s="440" t="s">
        <v>437</v>
      </c>
      <c r="C294" s="316">
        <v>6</v>
      </c>
      <c r="D294" s="288"/>
      <c r="E294" s="317">
        <v>56880</v>
      </c>
      <c r="F294" s="262"/>
      <c r="G294" s="255"/>
    </row>
    <row r="295" spans="1:7" ht="18" customHeight="1" x14ac:dyDescent="0.2">
      <c r="A295" s="361"/>
      <c r="B295" s="363"/>
      <c r="C295" s="361"/>
      <c r="D295" s="361"/>
      <c r="E295" s="361"/>
      <c r="F295" s="262"/>
      <c r="G295" s="255"/>
    </row>
    <row r="296" spans="1:7" ht="18" customHeight="1" x14ac:dyDescent="0.2">
      <c r="A296" s="361"/>
      <c r="B296" s="363"/>
      <c r="C296" s="361"/>
      <c r="D296" s="361"/>
      <c r="E296" s="361"/>
      <c r="F296" s="374"/>
      <c r="G296" s="263"/>
    </row>
    <row r="297" spans="1:7" ht="12.75" customHeight="1" x14ac:dyDescent="0.2">
      <c r="A297" s="756" t="s">
        <v>438</v>
      </c>
      <c r="B297" s="757"/>
      <c r="C297" s="757"/>
      <c r="D297" s="757"/>
      <c r="E297" s="758"/>
      <c r="F297" s="375"/>
      <c r="G297" s="263"/>
    </row>
    <row r="298" spans="1:7" ht="42.75" customHeight="1" x14ac:dyDescent="0.2">
      <c r="A298" s="264" t="s">
        <v>8</v>
      </c>
      <c r="B298" s="406" t="s">
        <v>438</v>
      </c>
      <c r="C298" s="407" t="s">
        <v>439</v>
      </c>
      <c r="D298" s="310" t="s">
        <v>11</v>
      </c>
      <c r="E298" s="266" t="s">
        <v>12</v>
      </c>
      <c r="F298" s="375"/>
      <c r="G298" s="263"/>
    </row>
    <row r="299" spans="1:7" ht="15" customHeight="1" x14ac:dyDescent="0.2">
      <c r="A299" s="433" t="s">
        <v>440</v>
      </c>
      <c r="B299" s="428" t="s">
        <v>441</v>
      </c>
      <c r="C299" s="382">
        <v>209</v>
      </c>
      <c r="D299" s="275">
        <v>18980</v>
      </c>
      <c r="E299" s="344">
        <v>3966820</v>
      </c>
      <c r="F299" s="262"/>
      <c r="G299" s="255"/>
    </row>
    <row r="300" spans="1:7" ht="15" customHeight="1" x14ac:dyDescent="0.2">
      <c r="A300" s="434" t="s">
        <v>442</v>
      </c>
      <c r="B300" s="429" t="s">
        <v>443</v>
      </c>
      <c r="C300" s="379">
        <v>192</v>
      </c>
      <c r="D300" s="270">
        <v>59710</v>
      </c>
      <c r="E300" s="345">
        <v>11464320</v>
      </c>
      <c r="F300" s="262"/>
      <c r="G300" s="255"/>
    </row>
    <row r="301" spans="1:7" ht="15" customHeight="1" x14ac:dyDescent="0.2">
      <c r="A301" s="434" t="s">
        <v>444</v>
      </c>
      <c r="B301" s="429" t="s">
        <v>445</v>
      </c>
      <c r="C301" s="379">
        <v>0</v>
      </c>
      <c r="D301" s="270">
        <v>74020</v>
      </c>
      <c r="E301" s="345">
        <v>0</v>
      </c>
      <c r="F301" s="262"/>
      <c r="G301" s="255"/>
    </row>
    <row r="302" spans="1:7" ht="15" customHeight="1" x14ac:dyDescent="0.2">
      <c r="A302" s="434" t="s">
        <v>446</v>
      </c>
      <c r="B302" s="429" t="s">
        <v>447</v>
      </c>
      <c r="C302" s="379">
        <v>401</v>
      </c>
      <c r="D302" s="270">
        <v>2600</v>
      </c>
      <c r="E302" s="345">
        <v>1042600</v>
      </c>
      <c r="F302" s="262"/>
      <c r="G302" s="255"/>
    </row>
    <row r="303" spans="1:7" ht="15" customHeight="1" x14ac:dyDescent="0.2">
      <c r="A303" s="434" t="s">
        <v>448</v>
      </c>
      <c r="B303" s="429" t="s">
        <v>449</v>
      </c>
      <c r="C303" s="379">
        <v>0</v>
      </c>
      <c r="D303" s="270">
        <v>70</v>
      </c>
      <c r="E303" s="345">
        <v>0</v>
      </c>
      <c r="F303" s="262"/>
      <c r="G303" s="255"/>
    </row>
    <row r="304" spans="1:7" ht="15" customHeight="1" x14ac:dyDescent="0.2">
      <c r="A304" s="434" t="s">
        <v>450</v>
      </c>
      <c r="B304" s="430" t="s">
        <v>451</v>
      </c>
      <c r="C304" s="379">
        <v>0</v>
      </c>
      <c r="D304" s="270">
        <v>157140</v>
      </c>
      <c r="E304" s="345">
        <v>0</v>
      </c>
      <c r="F304" s="262"/>
      <c r="G304" s="255"/>
    </row>
    <row r="305" spans="1:7" ht="15" customHeight="1" x14ac:dyDescent="0.2">
      <c r="A305" s="435" t="s">
        <v>452</v>
      </c>
      <c r="B305" s="431" t="s">
        <v>453</v>
      </c>
      <c r="C305" s="394">
        <v>0</v>
      </c>
      <c r="D305" s="277">
        <v>10680</v>
      </c>
      <c r="E305" s="350">
        <v>0</v>
      </c>
      <c r="F305" s="262"/>
      <c r="G305" s="255"/>
    </row>
    <row r="306" spans="1:7" ht="15" customHeight="1" x14ac:dyDescent="0.2">
      <c r="A306" s="436"/>
      <c r="B306" s="771" t="s">
        <v>454</v>
      </c>
      <c r="C306" s="772"/>
      <c r="D306" s="365"/>
      <c r="E306" s="376">
        <v>16473740</v>
      </c>
      <c r="F306" s="262"/>
      <c r="G306" s="255"/>
    </row>
    <row r="307" spans="1:7" ht="12.75" x14ac:dyDescent="0.2">
      <c r="A307" s="262"/>
      <c r="B307" s="262"/>
      <c r="C307" s="262"/>
      <c r="D307" s="262"/>
      <c r="E307" s="262"/>
      <c r="F307" s="358"/>
      <c r="G307" s="360"/>
    </row>
    <row r="308" spans="1:7" ht="12.75" x14ac:dyDescent="0.2">
      <c r="A308" s="262"/>
      <c r="B308" s="262"/>
      <c r="C308" s="262"/>
      <c r="D308" s="262"/>
      <c r="E308" s="262"/>
      <c r="F308" s="358"/>
      <c r="G308" s="360"/>
    </row>
    <row r="309" spans="1:7" ht="12.75" customHeight="1" x14ac:dyDescent="0.2">
      <c r="A309" s="745" t="s">
        <v>455</v>
      </c>
      <c r="B309" s="746"/>
      <c r="C309" s="746"/>
      <c r="D309" s="746"/>
      <c r="E309" s="747"/>
      <c r="F309" s="358"/>
      <c r="G309" s="360"/>
    </row>
    <row r="310" spans="1:7" ht="12.75" x14ac:dyDescent="0.2">
      <c r="A310" s="307"/>
      <c r="B310" s="768" t="s">
        <v>456</v>
      </c>
      <c r="C310" s="769"/>
      <c r="D310" s="770"/>
      <c r="E310" s="377">
        <v>30907960</v>
      </c>
      <c r="F310" s="262"/>
      <c r="G310" s="255"/>
    </row>
    <row r="311" spans="1:7" ht="12.75" x14ac:dyDescent="0.2">
      <c r="A311" s="262"/>
      <c r="B311" s="262"/>
      <c r="C311" s="262"/>
      <c r="D311" s="262"/>
      <c r="E311" s="262"/>
      <c r="F311" s="358"/>
      <c r="G311" s="360"/>
    </row>
    <row r="312" spans="1:7" ht="12.75" x14ac:dyDescent="0.2">
      <c r="A312" s="262"/>
      <c r="B312" s="262"/>
      <c r="C312" s="262"/>
      <c r="D312" s="262"/>
      <c r="E312" s="262"/>
      <c r="F312" s="358"/>
      <c r="G312" s="360"/>
    </row>
    <row r="313" spans="1:7" ht="12.75" customHeight="1" x14ac:dyDescent="0.2">
      <c r="A313" s="745" t="s">
        <v>457</v>
      </c>
      <c r="B313" s="746"/>
      <c r="C313" s="746"/>
      <c r="D313" s="746"/>
      <c r="E313" s="747"/>
      <c r="F313" s="358"/>
      <c r="G313" s="360"/>
    </row>
    <row r="314" spans="1:7" ht="25.5" customHeight="1" x14ac:dyDescent="0.2">
      <c r="A314" s="756" t="s">
        <v>458</v>
      </c>
      <c r="B314" s="757"/>
      <c r="C314" s="757"/>
      <c r="D314" s="758"/>
      <c r="E314" s="264" t="s">
        <v>12</v>
      </c>
      <c r="F314" s="358"/>
      <c r="G314" s="360"/>
    </row>
    <row r="315" spans="1:7" ht="15" customHeight="1" x14ac:dyDescent="0.2">
      <c r="A315" s="307"/>
      <c r="B315" s="768" t="s">
        <v>459</v>
      </c>
      <c r="C315" s="769"/>
      <c r="D315" s="770"/>
      <c r="E315" s="377">
        <v>720738012.5</v>
      </c>
      <c r="F315" s="358"/>
      <c r="G315" s="360"/>
    </row>
    <row r="316" spans="1:7" ht="18" customHeight="1" x14ac:dyDescent="0.2">
      <c r="A316" s="262"/>
      <c r="B316" s="262"/>
      <c r="C316" s="262"/>
      <c r="D316" s="262"/>
      <c r="E316" s="262"/>
      <c r="F316" s="259"/>
      <c r="G316" s="255"/>
    </row>
    <row r="317" spans="1:7" ht="18" customHeight="1" x14ac:dyDescent="0.2">
      <c r="A317" s="262"/>
      <c r="B317" s="262"/>
      <c r="C317" s="262"/>
      <c r="D317" s="262"/>
      <c r="E317" s="262"/>
      <c r="F317" s="259"/>
      <c r="G317" s="255"/>
    </row>
    <row r="318" spans="1:7" ht="18" customHeight="1" x14ac:dyDescent="0.2">
      <c r="A318" s="745" t="s">
        <v>460</v>
      </c>
      <c r="B318" s="746"/>
      <c r="C318" s="747"/>
      <c r="D318" s="262"/>
      <c r="E318" s="262"/>
      <c r="F318" s="259"/>
      <c r="G318" s="255"/>
    </row>
    <row r="319" spans="1:7" ht="18" customHeight="1" x14ac:dyDescent="0.2">
      <c r="A319" s="756" t="s">
        <v>461</v>
      </c>
      <c r="B319" s="757"/>
      <c r="C319" s="758"/>
      <c r="D319" s="262"/>
      <c r="E319" s="262"/>
      <c r="F319" s="259"/>
      <c r="G319" s="255"/>
    </row>
    <row r="320" spans="1:7" ht="30.75" customHeight="1" x14ac:dyDescent="0.2">
      <c r="A320" s="745" t="s">
        <v>462</v>
      </c>
      <c r="B320" s="746"/>
      <c r="C320" s="264" t="s">
        <v>463</v>
      </c>
      <c r="D320" s="262"/>
      <c r="E320" s="262"/>
      <c r="F320" s="262"/>
      <c r="G320" s="255"/>
    </row>
    <row r="321" spans="1:6" ht="15" customHeight="1" x14ac:dyDescent="0.2">
      <c r="A321" s="378" t="s">
        <v>464</v>
      </c>
      <c r="B321" s="396"/>
      <c r="C321" s="402"/>
      <c r="D321" s="262"/>
      <c r="E321" s="262"/>
      <c r="F321" s="262"/>
    </row>
    <row r="322" spans="1:6" ht="15" customHeight="1" x14ac:dyDescent="0.2">
      <c r="A322" s="379" t="s">
        <v>465</v>
      </c>
      <c r="B322" s="397"/>
      <c r="C322" s="403"/>
      <c r="D322" s="262"/>
      <c r="E322" s="262"/>
      <c r="F322" s="262"/>
    </row>
    <row r="323" spans="1:6" ht="15" customHeight="1" x14ac:dyDescent="0.2">
      <c r="A323" s="379" t="s">
        <v>466</v>
      </c>
      <c r="B323" s="397"/>
      <c r="C323" s="403"/>
      <c r="D323" s="262"/>
      <c r="E323" s="262"/>
      <c r="F323" s="262"/>
    </row>
    <row r="324" spans="1:6" ht="15" customHeight="1" x14ac:dyDescent="0.2">
      <c r="A324" s="380" t="s">
        <v>467</v>
      </c>
      <c r="B324" s="397"/>
      <c r="C324" s="403"/>
      <c r="D324" s="262"/>
      <c r="E324" s="262"/>
      <c r="F324" s="262"/>
    </row>
    <row r="325" spans="1:6" ht="15" customHeight="1" x14ac:dyDescent="0.2">
      <c r="A325" s="381" t="s">
        <v>468</v>
      </c>
      <c r="B325" s="398"/>
      <c r="C325" s="404">
        <v>0</v>
      </c>
      <c r="D325" s="262"/>
      <c r="E325" s="262"/>
      <c r="F325" s="262"/>
    </row>
    <row r="326" spans="1:6" ht="15" customHeight="1" x14ac:dyDescent="0.2">
      <c r="A326" s="382" t="s">
        <v>469</v>
      </c>
      <c r="B326" s="399"/>
      <c r="C326" s="402">
        <v>6857114</v>
      </c>
      <c r="D326" s="262"/>
      <c r="E326" s="262"/>
      <c r="F326" s="262"/>
    </row>
    <row r="327" spans="1:6" ht="15" customHeight="1" x14ac:dyDescent="0.2">
      <c r="A327" s="383" t="s">
        <v>470</v>
      </c>
      <c r="B327" s="400"/>
      <c r="C327" s="403"/>
      <c r="D327" s="262"/>
      <c r="E327" s="262"/>
      <c r="F327" s="262"/>
    </row>
    <row r="328" spans="1:6" ht="15" customHeight="1" x14ac:dyDescent="0.2">
      <c r="A328" s="379" t="s">
        <v>471</v>
      </c>
      <c r="B328" s="400"/>
      <c r="C328" s="403"/>
      <c r="D328" s="262"/>
      <c r="E328" s="262"/>
      <c r="F328" s="262"/>
    </row>
    <row r="329" spans="1:6" ht="15" customHeight="1" x14ac:dyDescent="0.2">
      <c r="A329" s="379" t="s">
        <v>472</v>
      </c>
      <c r="B329" s="400"/>
      <c r="C329" s="403"/>
      <c r="D329" s="262"/>
      <c r="E329" s="262"/>
      <c r="F329" s="262"/>
    </row>
    <row r="330" spans="1:6" ht="15" customHeight="1" x14ac:dyDescent="0.2">
      <c r="A330" s="383" t="s">
        <v>473</v>
      </c>
      <c r="B330" s="400"/>
      <c r="C330" s="403"/>
      <c r="D330" s="262"/>
      <c r="E330" s="262"/>
      <c r="F330" s="262"/>
    </row>
    <row r="331" spans="1:6" ht="15" customHeight="1" x14ac:dyDescent="0.2">
      <c r="A331" s="383" t="s">
        <v>474</v>
      </c>
      <c r="B331" s="400"/>
      <c r="C331" s="403"/>
      <c r="D331" s="262"/>
      <c r="E331" s="262"/>
      <c r="F331" s="262"/>
    </row>
    <row r="332" spans="1:6" ht="15" customHeight="1" x14ac:dyDescent="0.2">
      <c r="A332" s="384" t="s">
        <v>475</v>
      </c>
      <c r="B332" s="401"/>
      <c r="C332" s="405">
        <v>91072317</v>
      </c>
      <c r="D332" s="262"/>
      <c r="E332" s="262"/>
      <c r="F332" s="262"/>
    </row>
    <row r="333" spans="1:6" ht="15" customHeight="1" x14ac:dyDescent="0.2">
      <c r="A333" s="279"/>
      <c r="B333" s="395" t="s">
        <v>476</v>
      </c>
      <c r="C333" s="354">
        <v>97929431</v>
      </c>
      <c r="D333" s="262"/>
      <c r="E333" s="262"/>
      <c r="F333" s="262"/>
    </row>
    <row r="334" spans="1:6" ht="12.75" x14ac:dyDescent="0.2">
      <c r="A334" s="262"/>
      <c r="B334" s="262"/>
      <c r="C334" s="262"/>
      <c r="D334" s="262"/>
      <c r="E334" s="262"/>
      <c r="F334" s="259"/>
    </row>
    <row r="335" spans="1:6" ht="12.75" x14ac:dyDescent="0.2">
      <c r="A335" s="262"/>
      <c r="B335" s="262"/>
      <c r="C335" s="262"/>
      <c r="D335" s="262"/>
      <c r="E335" s="262"/>
      <c r="F335" s="259"/>
    </row>
    <row r="336" spans="1:6" ht="12.75" x14ac:dyDescent="0.2">
      <c r="A336" s="262"/>
      <c r="B336" s="262"/>
      <c r="C336" s="262"/>
      <c r="D336" s="262"/>
      <c r="E336" s="262"/>
      <c r="F336" s="259"/>
    </row>
    <row r="337" spans="1:6" ht="12.75" x14ac:dyDescent="0.2">
      <c r="A337" s="361"/>
      <c r="B337" s="361"/>
      <c r="C337" s="361"/>
      <c r="D337" s="361"/>
      <c r="E337" s="361"/>
      <c r="F337" s="374"/>
    </row>
    <row r="338" spans="1:6" ht="12.75" customHeight="1" x14ac:dyDescent="0.2">
      <c r="A338" s="361"/>
      <c r="B338" s="361"/>
      <c r="C338" s="361"/>
      <c r="D338" s="361"/>
      <c r="E338" s="774" t="s">
        <v>483</v>
      </c>
      <c r="F338" s="774"/>
    </row>
    <row r="339" spans="1:6" ht="12.75" customHeight="1" x14ac:dyDescent="0.2">
      <c r="A339" s="361"/>
      <c r="B339" s="361"/>
      <c r="C339" s="361"/>
      <c r="D339" s="363"/>
      <c r="E339" s="773" t="s">
        <v>484</v>
      </c>
      <c r="F339" s="773"/>
    </row>
    <row r="340" spans="1:6" ht="12.75" x14ac:dyDescent="0.2">
      <c r="A340" s="361"/>
      <c r="B340" s="361"/>
      <c r="C340" s="361"/>
      <c r="D340" s="361"/>
      <c r="E340" s="385"/>
      <c r="F340" s="386"/>
    </row>
    <row r="341" spans="1:6" ht="12.75" x14ac:dyDescent="0.2">
      <c r="A341" s="361"/>
      <c r="B341" s="361"/>
      <c r="C341" s="361"/>
      <c r="D341" s="361"/>
      <c r="E341" s="386"/>
      <c r="F341" s="386"/>
    </row>
    <row r="342" spans="1:6" ht="12.75" x14ac:dyDescent="0.2">
      <c r="A342" s="361"/>
      <c r="B342" s="361"/>
      <c r="C342" s="361"/>
      <c r="D342" s="361"/>
      <c r="E342" s="386"/>
      <c r="F342" s="386"/>
    </row>
    <row r="343" spans="1:6" ht="12.75" x14ac:dyDescent="0.2">
      <c r="A343" s="361"/>
      <c r="B343" s="361"/>
      <c r="C343" s="361"/>
      <c r="D343" s="361"/>
      <c r="E343" s="386"/>
      <c r="F343" s="386"/>
    </row>
    <row r="344" spans="1:6" ht="12.75" x14ac:dyDescent="0.2">
      <c r="A344" s="361"/>
      <c r="B344" s="361"/>
      <c r="C344" s="361"/>
      <c r="D344" s="361"/>
      <c r="E344" s="386"/>
      <c r="F344" s="386"/>
    </row>
    <row r="345" spans="1:6" ht="12.75" x14ac:dyDescent="0.2">
      <c r="A345" s="361"/>
      <c r="B345" s="361"/>
      <c r="C345" s="361"/>
      <c r="D345" s="361"/>
      <c r="E345" s="386"/>
      <c r="F345" s="386"/>
    </row>
    <row r="346" spans="1:6" ht="12.75" x14ac:dyDescent="0.2">
      <c r="A346" s="361"/>
      <c r="B346" s="361"/>
      <c r="C346" s="361"/>
      <c r="D346" s="361"/>
      <c r="E346" s="386"/>
      <c r="F346" s="386"/>
    </row>
    <row r="347" spans="1:6" ht="12.75" customHeight="1" x14ac:dyDescent="0.2">
      <c r="A347" s="361"/>
      <c r="B347" s="361"/>
      <c r="C347" s="361"/>
      <c r="D347" s="361"/>
      <c r="E347" s="774" t="s">
        <v>485</v>
      </c>
      <c r="F347" s="774"/>
    </row>
    <row r="348" spans="1:6" ht="22.5" customHeight="1" x14ac:dyDescent="0.2">
      <c r="A348" s="361"/>
      <c r="B348" s="361"/>
      <c r="C348" s="361"/>
      <c r="D348" s="374"/>
      <c r="E348" s="773" t="s">
        <v>486</v>
      </c>
      <c r="F348" s="773"/>
    </row>
    <row r="349" spans="1:6" ht="12.75" x14ac:dyDescent="0.2">
      <c r="A349" s="361"/>
      <c r="B349" s="361"/>
      <c r="C349" s="361"/>
      <c r="D349" s="387"/>
      <c r="E349" s="361"/>
      <c r="F349" s="374"/>
    </row>
  </sheetData>
  <mergeCells count="49">
    <mergeCell ref="A11:E11"/>
    <mergeCell ref="E348:F348"/>
    <mergeCell ref="A313:E313"/>
    <mergeCell ref="A314:D314"/>
    <mergeCell ref="B315:D315"/>
    <mergeCell ref="A318:C318"/>
    <mergeCell ref="E338:F338"/>
    <mergeCell ref="E347:F347"/>
    <mergeCell ref="E339:F339"/>
    <mergeCell ref="A319:C319"/>
    <mergeCell ref="A320:B320"/>
    <mergeCell ref="A238:E238"/>
    <mergeCell ref="A277:E277"/>
    <mergeCell ref="A287:E287"/>
    <mergeCell ref="A297:E297"/>
    <mergeCell ref="A224:C224"/>
    <mergeCell ref="A309:E309"/>
    <mergeCell ref="B310:D310"/>
    <mergeCell ref="B306:C306"/>
    <mergeCell ref="A258:E258"/>
    <mergeCell ref="A242:E242"/>
    <mergeCell ref="A231:E231"/>
    <mergeCell ref="A112:E112"/>
    <mergeCell ref="A119:C119"/>
    <mergeCell ref="A124:E124"/>
    <mergeCell ref="A87:F87"/>
    <mergeCell ref="A88:A89"/>
    <mergeCell ref="B88:B89"/>
    <mergeCell ref="C88:F88"/>
    <mergeCell ref="A151:E151"/>
    <mergeCell ref="A171:E171"/>
    <mergeCell ref="A210:E210"/>
    <mergeCell ref="A158:E158"/>
    <mergeCell ref="A79:E79"/>
    <mergeCell ref="A27:E27"/>
    <mergeCell ref="A53:E53"/>
    <mergeCell ref="C6:E6"/>
    <mergeCell ref="C1:E1"/>
    <mergeCell ref="C2:E2"/>
    <mergeCell ref="C3:E3"/>
    <mergeCell ref="C4:E4"/>
    <mergeCell ref="C5:E5"/>
    <mergeCell ref="A13:E13"/>
    <mergeCell ref="A38:E38"/>
    <mergeCell ref="A41:E41"/>
    <mergeCell ref="A46:E46"/>
    <mergeCell ref="A7:B7"/>
    <mergeCell ref="C7:E7"/>
    <mergeCell ref="C8:E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28" sqref="B28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42" t="s">
        <v>1</v>
      </c>
      <c r="D1" s="743"/>
      <c r="E1" s="744"/>
      <c r="F1" s="3"/>
    </row>
    <row r="2" spans="1:7" ht="12.75" x14ac:dyDescent="0.2">
      <c r="A2" s="1" t="str">
        <f>CONCATENATE("COMUNA: ",[8]NOMBRE!B2," - ","( ",[8]NOMBRE!C2,[8]NOMBRE!D2,[8]NOMBRE!E2,[8]NOMBRE!F2,[8]NOMBRE!G2," )")</f>
        <v>COMUNA: Linares - ( 07401 )</v>
      </c>
      <c r="B2" s="2"/>
      <c r="C2" s="739"/>
      <c r="D2" s="740"/>
      <c r="E2" s="741"/>
      <c r="F2" s="5"/>
      <c r="G2" s="6"/>
    </row>
    <row r="3" spans="1:7" ht="12.75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Ibáñez del Campo - ( 116108 )</v>
      </c>
      <c r="B3" s="2"/>
      <c r="C3" s="742" t="s">
        <v>2</v>
      </c>
      <c r="D3" s="743"/>
      <c r="E3" s="744"/>
      <c r="F3" s="5"/>
      <c r="G3" s="7"/>
    </row>
    <row r="4" spans="1:7" ht="12.75" x14ac:dyDescent="0.2">
      <c r="A4" s="1" t="str">
        <f>CONCATENATE("MES: ",[8]NOMBRE!B6," - ","( ",[8]NOMBRE!C6,[8]NOMBRE!D6," )")</f>
        <v>MES: AGOSTO - ( 08 )</v>
      </c>
      <c r="B4" s="2"/>
      <c r="C4" s="739" t="str">
        <f>CONCATENATE([8]NOMBRE!B6," ","( ",[8]NOMBRE!C6,[8]NOMBRE!D6," )")</f>
        <v>AGOSTO ( 08 )</v>
      </c>
      <c r="D4" s="740"/>
      <c r="E4" s="741"/>
      <c r="F4" s="5"/>
      <c r="G4" s="7"/>
    </row>
    <row r="5" spans="1:7" ht="12.75" x14ac:dyDescent="0.2">
      <c r="A5" s="1" t="str">
        <f>CONCATENATE("AÑO: ",[8]NOMBRE!B7)</f>
        <v>AÑO: 2015</v>
      </c>
      <c r="B5" s="2"/>
      <c r="C5" s="742" t="s">
        <v>3</v>
      </c>
      <c r="D5" s="743"/>
      <c r="E5" s="744"/>
      <c r="F5" s="5"/>
      <c r="G5" s="7"/>
    </row>
    <row r="6" spans="1:7" ht="12.75" x14ac:dyDescent="0.2">
      <c r="A6" s="8"/>
      <c r="B6" s="8"/>
      <c r="C6" s="739">
        <f>[8]NOMBRE!B7</f>
        <v>2015</v>
      </c>
      <c r="D6" s="740"/>
      <c r="E6" s="741"/>
      <c r="F6" s="5"/>
      <c r="G6" s="7"/>
    </row>
    <row r="7" spans="1:7" ht="15" x14ac:dyDescent="0.2">
      <c r="A7" s="748" t="s">
        <v>4</v>
      </c>
      <c r="B7" s="749"/>
      <c r="C7" s="750" t="s">
        <v>5</v>
      </c>
      <c r="D7" s="751"/>
      <c r="E7" s="752"/>
      <c r="F7" s="5"/>
      <c r="G7" s="7"/>
    </row>
    <row r="8" spans="1:7" ht="15" x14ac:dyDescent="0.2">
      <c r="A8" s="8"/>
      <c r="B8" s="254" t="s">
        <v>6</v>
      </c>
      <c r="C8" s="739" t="str">
        <f>CONCATENATE([8]NOMBRE!B3," ","( ",[8]NOMBRE!C3,[8]NOMBRE!D3,[8]NOMBRE!E3,[8]NOMBRE!F3,[8]NOMBRE!G3," )")</f>
        <v>Hospital Presidente Carlos Ibáñez del Campo ( 11610 )</v>
      </c>
      <c r="D8" s="740"/>
      <c r="E8" s="741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53" t="s">
        <v>7</v>
      </c>
      <c r="B11" s="754"/>
      <c r="C11" s="754"/>
      <c r="D11" s="754"/>
      <c r="E11" s="755"/>
      <c r="F11" s="5"/>
    </row>
    <row r="12" spans="1:7" ht="43.5" customHeight="1" x14ac:dyDescent="0.2">
      <c r="A12" s="11" t="s">
        <v>8</v>
      </c>
      <c r="B12" s="11" t="s">
        <v>9</v>
      </c>
      <c r="C12" s="249" t="s">
        <v>10</v>
      </c>
      <c r="D12" s="13" t="s">
        <v>11</v>
      </c>
      <c r="E12" s="251" t="s">
        <v>12</v>
      </c>
      <c r="F12" s="8"/>
    </row>
    <row r="13" spans="1:7" ht="12.75" customHeight="1" x14ac:dyDescent="0.2">
      <c r="A13" s="756" t="s">
        <v>13</v>
      </c>
      <c r="B13" s="757"/>
      <c r="C13" s="757"/>
      <c r="D13" s="757"/>
      <c r="E13" s="758"/>
      <c r="F13" s="8"/>
    </row>
    <row r="14" spans="1:7" ht="15" customHeight="1" x14ac:dyDescent="0.2">
      <c r="A14" s="17" t="s">
        <v>14</v>
      </c>
      <c r="B14" s="18" t="s">
        <v>15</v>
      </c>
      <c r="C14" s="19">
        <f>[8]BS17A!$D13</f>
        <v>0</v>
      </c>
      <c r="D14" s="20">
        <f>[8]BS17A!$U13</f>
        <v>4300</v>
      </c>
      <c r="E14" s="21">
        <f>[8]BS17A!$V13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[8]BS17A!$D14</f>
        <v>0</v>
      </c>
      <c r="D15" s="24">
        <f>[8]BS17A!$U14</f>
        <v>5400</v>
      </c>
      <c r="E15" s="25">
        <f>[8]BS17A!$V14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[8]BS17A!$D15</f>
        <v>6171</v>
      </c>
      <c r="D16" s="24">
        <f>[8]BS17A!$U15</f>
        <v>11590</v>
      </c>
      <c r="E16" s="25">
        <f>[8]BS17A!$V15</f>
        <v>71521890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[8]BS17A!$D16</f>
        <v>0</v>
      </c>
      <c r="D17" s="24">
        <f>[8]BS17A!$U16</f>
        <v>6920</v>
      </c>
      <c r="E17" s="25">
        <f>[8]BS17A!$V16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[8]BS17A!$D17</f>
        <v>0</v>
      </c>
      <c r="D18" s="24">
        <f>[8]BS17A!$U17</f>
        <v>7590</v>
      </c>
      <c r="E18" s="25">
        <f>[8]BS17A!$V17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[8]BS17A!$D20</f>
        <v>0</v>
      </c>
      <c r="D19" s="24">
        <f>[8]BS17A!$U20</f>
        <v>5860</v>
      </c>
      <c r="E19" s="25">
        <f>[8]BS17A!$V20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[8]BS17A!$D21</f>
        <v>0</v>
      </c>
      <c r="D20" s="24">
        <f>[8]BS17A!$U21</f>
        <v>7020</v>
      </c>
      <c r="E20" s="25">
        <f>[8]BS17A!$V21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[8]BS17A!$D22</f>
        <v>0</v>
      </c>
      <c r="D21" s="24">
        <f>[8]BS17A!$U22</f>
        <v>8710</v>
      </c>
      <c r="E21" s="25">
        <f>[8]BS17A!$V22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[8]BS17A!$D23</f>
        <v>2121</v>
      </c>
      <c r="D22" s="24">
        <f>[8]BS17A!$U23</f>
        <v>5860</v>
      </c>
      <c r="E22" s="25">
        <f>[8]BS17A!$V23</f>
        <v>12429060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[8]BS17A!$D24</f>
        <v>1227</v>
      </c>
      <c r="D23" s="24">
        <f>[8]BS17A!$U24</f>
        <v>7020</v>
      </c>
      <c r="E23" s="25">
        <f>[8]BS17A!$V24</f>
        <v>8613540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[8]BS17A!$D25</f>
        <v>2838</v>
      </c>
      <c r="D24" s="24">
        <f>[8]BS17A!$U25</f>
        <v>8710</v>
      </c>
      <c r="E24" s="25">
        <f>[8]BS17A!$V25</f>
        <v>24718980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+[8]BS17A!$D795</f>
        <v>298</v>
      </c>
      <c r="D25" s="24">
        <f>+[8]BS17A!$U795</f>
        <v>7110</v>
      </c>
      <c r="E25" s="25">
        <f>+[8]BS17A!$V795</f>
        <v>2118780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+[8]BS17A!$D800</f>
        <v>0</v>
      </c>
      <c r="D26" s="31">
        <f>+[8]BS17A!$U800</f>
        <v>29440</v>
      </c>
      <c r="E26" s="32">
        <f>+[8]BS17A!$V800</f>
        <v>0</v>
      </c>
      <c r="F26" s="8"/>
    </row>
    <row r="27" spans="1:6" ht="18" customHeight="1" x14ac:dyDescent="0.2">
      <c r="A27" s="756" t="s">
        <v>40</v>
      </c>
      <c r="B27" s="757"/>
      <c r="C27" s="757"/>
      <c r="D27" s="757"/>
      <c r="E27" s="758"/>
      <c r="F27" s="8"/>
    </row>
    <row r="28" spans="1:6" ht="15" customHeight="1" x14ac:dyDescent="0.2">
      <c r="A28" s="17" t="s">
        <v>41</v>
      </c>
      <c r="B28" s="18" t="s">
        <v>42</v>
      </c>
      <c r="C28" s="33">
        <f>[8]BS17A!$D27</f>
        <v>1976</v>
      </c>
      <c r="D28" s="20">
        <f>[8]BS17A!$U27</f>
        <v>1140</v>
      </c>
      <c r="E28" s="21">
        <f>[8]BS17A!$V27</f>
        <v>2252640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[8]BS17A!$D28</f>
        <v>0</v>
      </c>
      <c r="D29" s="24">
        <f>[8]BS17A!$U28</f>
        <v>1960</v>
      </c>
      <c r="E29" s="25">
        <f>[8]BS17A!$V28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[8]BS17A!$D29</f>
        <v>0</v>
      </c>
      <c r="D30" s="24">
        <f>[8]BS17A!$U29</f>
        <v>630</v>
      </c>
      <c r="E30" s="25">
        <f>[8]BS17A!$V29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[8]BS17A!$D30</f>
        <v>125</v>
      </c>
      <c r="D31" s="24">
        <f>[8]BS17A!$U30</f>
        <v>1550</v>
      </c>
      <c r="E31" s="25">
        <f>[8]BS17A!$V30</f>
        <v>193750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[8]BS17A!$D31</f>
        <v>1981</v>
      </c>
      <c r="D32" s="24">
        <f>[8]BS17A!$U31</f>
        <v>1250</v>
      </c>
      <c r="E32" s="25">
        <f>[8]BS17A!$V31</f>
        <v>2476250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[8]BS17A!$D32</f>
        <v>0</v>
      </c>
      <c r="D33" s="24">
        <f>[8]BS17A!$U32</f>
        <v>1140</v>
      </c>
      <c r="E33" s="25">
        <f>[8]BS17A!$V32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+[8]BS17A!$D796</f>
        <v>308</v>
      </c>
      <c r="D34" s="24">
        <f>+[8]BS17A!$U796</f>
        <v>2780</v>
      </c>
      <c r="E34" s="25">
        <f>+[8]BS17A!$V796</f>
        <v>856240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+[8]BS17A!$D797</f>
        <v>592</v>
      </c>
      <c r="D35" s="24">
        <f>+[8]BS17A!$U797</f>
        <v>2780</v>
      </c>
      <c r="E35" s="25">
        <f>+[8]BS17A!$V797</f>
        <v>1645760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+[8]BS17A!$D798</f>
        <v>6</v>
      </c>
      <c r="D36" s="24">
        <f>+[8]BS17A!$U798</f>
        <v>11080</v>
      </c>
      <c r="E36" s="25">
        <f>+[8]BS17A!$V798</f>
        <v>66480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+[8]BS17A!$D799</f>
        <v>74</v>
      </c>
      <c r="D37" s="31">
        <f>+[8]BS17A!$U799</f>
        <v>12980</v>
      </c>
      <c r="E37" s="32">
        <f>+[8]BS17A!$V799</f>
        <v>960520</v>
      </c>
      <c r="F37" s="8"/>
    </row>
    <row r="38" spans="1:6" ht="18" customHeight="1" x14ac:dyDescent="0.2">
      <c r="A38" s="759" t="s">
        <v>61</v>
      </c>
      <c r="B38" s="760"/>
      <c r="C38" s="760"/>
      <c r="D38" s="760"/>
      <c r="E38" s="761"/>
      <c r="F38" s="8"/>
    </row>
    <row r="39" spans="1:6" ht="15" customHeight="1" x14ac:dyDescent="0.2">
      <c r="A39" s="17" t="s">
        <v>62</v>
      </c>
      <c r="B39" s="36" t="s">
        <v>63</v>
      </c>
      <c r="C39" s="33">
        <f>+[8]BS17A!$D801</f>
        <v>0</v>
      </c>
      <c r="D39" s="37">
        <f>+[8]BS17A!$U801</f>
        <v>3657</v>
      </c>
      <c r="E39" s="38">
        <f>+[8]BS17A!$V801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+[8]BS17A!$D802</f>
        <v>0</v>
      </c>
      <c r="D40" s="40">
        <f>+[8]BS17A!$U802</f>
        <v>9455</v>
      </c>
      <c r="E40" s="41">
        <f>+[8]BS17A!$V802</f>
        <v>0</v>
      </c>
      <c r="F40" s="8"/>
    </row>
    <row r="41" spans="1:6" ht="18" customHeight="1" x14ac:dyDescent="0.2">
      <c r="A41" s="759" t="s">
        <v>66</v>
      </c>
      <c r="B41" s="760"/>
      <c r="C41" s="760"/>
      <c r="D41" s="760"/>
      <c r="E41" s="761"/>
      <c r="F41" s="8"/>
    </row>
    <row r="42" spans="1:6" ht="15" customHeight="1" x14ac:dyDescent="0.2">
      <c r="A42" s="17" t="s">
        <v>67</v>
      </c>
      <c r="B42" s="42" t="s">
        <v>68</v>
      </c>
      <c r="C42" s="33">
        <f>+[8]BS17A!$D34</f>
        <v>54</v>
      </c>
      <c r="D42" s="37">
        <f>+[8]BS17A!$U34</f>
        <v>3750</v>
      </c>
      <c r="E42" s="38">
        <f>+[8]BS17A!$V34</f>
        <v>202500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+[8]BS17A!$D35</f>
        <v>277</v>
      </c>
      <c r="D43" s="24">
        <f>+[8]BS17A!$U35</f>
        <v>2060</v>
      </c>
      <c r="E43" s="25">
        <f>+[8]BS17A!$V35</f>
        <v>570620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+[8]BS17A!$D36</f>
        <v>0</v>
      </c>
      <c r="D44" s="24">
        <f>+[8]BS17A!$U36</f>
        <v>2060</v>
      </c>
      <c r="E44" s="25">
        <f>+[8]BS17A!$V36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+[8]BS17A!$D37</f>
        <v>300</v>
      </c>
      <c r="D45" s="40">
        <f>+[8]BS17A!$U37</f>
        <v>630</v>
      </c>
      <c r="E45" s="41">
        <f>+[8]BS17A!$V37</f>
        <v>189000</v>
      </c>
      <c r="F45" s="8"/>
    </row>
    <row r="46" spans="1:6" ht="18" customHeight="1" x14ac:dyDescent="0.2">
      <c r="A46" s="759" t="s">
        <v>75</v>
      </c>
      <c r="B46" s="760"/>
      <c r="C46" s="760"/>
      <c r="D46" s="760"/>
      <c r="E46" s="761"/>
      <c r="F46" s="8"/>
    </row>
    <row r="47" spans="1:6" ht="15" customHeight="1" x14ac:dyDescent="0.2">
      <c r="A47" s="17" t="s">
        <v>76</v>
      </c>
      <c r="B47" s="42" t="s">
        <v>77</v>
      </c>
      <c r="C47" s="33">
        <f>+[8]BS17A!$D39</f>
        <v>165</v>
      </c>
      <c r="D47" s="37">
        <f>+[8]BS17A!$U39</f>
        <v>1780</v>
      </c>
      <c r="E47" s="38">
        <f>+[8]BS17A!$V39</f>
        <v>293700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+[8]BS17A!$D40</f>
        <v>19</v>
      </c>
      <c r="D48" s="24">
        <f>+[8]BS17A!$U40</f>
        <v>1780</v>
      </c>
      <c r="E48" s="25">
        <f>+[8]BS17A!$V40</f>
        <v>33820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+[8]BS17A!$D41</f>
        <v>84</v>
      </c>
      <c r="D49" s="40">
        <f>+[8]BS17A!$U41</f>
        <v>1030</v>
      </c>
      <c r="E49" s="41">
        <f>+[8]BS17A!$V41</f>
        <v>86520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18616</v>
      </c>
      <c r="D50" s="46"/>
      <c r="E50" s="47">
        <f>SUM(E14:E49)</f>
        <v>129230050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9" t="s">
        <v>83</v>
      </c>
      <c r="B53" s="760"/>
      <c r="C53" s="760"/>
      <c r="D53" s="760"/>
      <c r="E53" s="761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249" t="s">
        <v>10</v>
      </c>
      <c r="D54" s="53"/>
      <c r="E54" s="251" t="s">
        <v>12</v>
      </c>
      <c r="F54" s="8"/>
    </row>
    <row r="55" spans="1:7" ht="18" customHeight="1" x14ac:dyDescent="0.2">
      <c r="A55" s="253" t="s">
        <v>85</v>
      </c>
      <c r="B55" s="55" t="s">
        <v>86</v>
      </c>
      <c r="C55" s="56">
        <f>+[8]BS17!$D12</f>
        <v>66972</v>
      </c>
      <c r="D55" s="57"/>
      <c r="E55" s="58">
        <f>+E56+E57+E58+E59+E60+E61+E65+E66+E67</f>
        <v>100417850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+[8]BS17!$D13</f>
        <v>25788</v>
      </c>
      <c r="D56" s="61"/>
      <c r="E56" s="62">
        <f>+[8]BS17A!V83</f>
        <v>28489450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+[8]BS17!$D14</f>
        <v>28131</v>
      </c>
      <c r="D57" s="63"/>
      <c r="E57" s="64">
        <f>+[8]BS17A!V174</f>
        <v>35235350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+[8]BS17!$D15</f>
        <v>1110</v>
      </c>
      <c r="D58" s="63"/>
      <c r="E58" s="64">
        <f>+[8]BS17A!V243</f>
        <v>3963900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+[8]BS17!$D16</f>
        <v>0</v>
      </c>
      <c r="D59" s="63"/>
      <c r="E59" s="64">
        <f>+[8]BS17A!V289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+[8]BS17!$D17</f>
        <v>1666</v>
      </c>
      <c r="D60" s="67"/>
      <c r="E60" s="68">
        <f>+[8]BS17A!V295</f>
        <v>8047610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+[8]BS17!$D18</f>
        <v>7340</v>
      </c>
      <c r="D61" s="71"/>
      <c r="E61" s="72">
        <f>SUM(E62:E64)</f>
        <v>20831190</v>
      </c>
      <c r="F61" s="8"/>
    </row>
    <row r="62" spans="1:7" ht="15" customHeight="1" x14ac:dyDescent="0.2">
      <c r="A62" s="73"/>
      <c r="B62" s="42" t="s">
        <v>99</v>
      </c>
      <c r="C62" s="33">
        <f>+[8]BS17!$D19</f>
        <v>5186</v>
      </c>
      <c r="D62" s="74"/>
      <c r="E62" s="75">
        <f>+[8]BS17A!V362</f>
        <v>12127130</v>
      </c>
      <c r="F62" s="8"/>
    </row>
    <row r="63" spans="1:7" ht="15" customHeight="1" x14ac:dyDescent="0.2">
      <c r="A63" s="73"/>
      <c r="B63" s="27" t="s">
        <v>100</v>
      </c>
      <c r="C63" s="19">
        <f>+[8]BS17!$D20</f>
        <v>63</v>
      </c>
      <c r="D63" s="63"/>
      <c r="E63" s="64">
        <f>+[8]BS17A!V405</f>
        <v>176830</v>
      </c>
      <c r="F63" s="8"/>
    </row>
    <row r="64" spans="1:7" ht="15" customHeight="1" x14ac:dyDescent="0.2">
      <c r="A64" s="76"/>
      <c r="B64" s="43" t="s">
        <v>101</v>
      </c>
      <c r="C64" s="30">
        <f>+[8]BS17!$D21</f>
        <v>2091</v>
      </c>
      <c r="D64" s="77"/>
      <c r="E64" s="78">
        <f>+[8]BS17A!V428</f>
        <v>8527230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+[8]BS17!$D22</f>
        <v>0</v>
      </c>
      <c r="D65" s="61"/>
      <c r="E65" s="62">
        <f>+[8]BS17A!V446</f>
        <v>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+[8]BS17!$D23</f>
        <v>76</v>
      </c>
      <c r="D66" s="63"/>
      <c r="E66" s="64">
        <f>+[8]BS17A!V456</f>
        <v>140020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+[8]BS17!$D24</f>
        <v>2861</v>
      </c>
      <c r="D67" s="67"/>
      <c r="E67" s="68">
        <f>+[8]BS17A!V500</f>
        <v>3710330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+[8]BS17!$D25</f>
        <v>4992</v>
      </c>
      <c r="D68" s="83"/>
      <c r="E68" s="84">
        <f>SUM(E69:E74)</f>
        <v>79947960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+[8]BS17!$D26</f>
        <v>3055</v>
      </c>
      <c r="D69" s="63"/>
      <c r="E69" s="64">
        <f>+[8]BS17A!V535</f>
        <v>25044360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+[8]BS17!$D27</f>
        <v>10</v>
      </c>
      <c r="D70" s="63"/>
      <c r="E70" s="64">
        <f>+[8]BS17A!V590</f>
        <v>203500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+[8]BS17!$D28</f>
        <v>745</v>
      </c>
      <c r="D71" s="63"/>
      <c r="E71" s="64">
        <f>+[8]BS17A!V615</f>
        <v>39524770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+[8]BS17!$D30+[8]BS17!$D32</f>
        <v>1077</v>
      </c>
      <c r="D72" s="63"/>
      <c r="E72" s="64">
        <f>+[8]BS17A!V633-[8]BS17A!V634</f>
        <v>14625130</v>
      </c>
      <c r="F72" s="8"/>
    </row>
    <row r="73" spans="1:7" ht="15" customHeight="1" x14ac:dyDescent="0.2">
      <c r="A73" s="85"/>
      <c r="B73" s="27" t="s">
        <v>118</v>
      </c>
      <c r="C73" s="19">
        <f>+[8]BS17!$D31</f>
        <v>105</v>
      </c>
      <c r="D73" s="63"/>
      <c r="E73" s="64">
        <f>+[8]BS17A!V634</f>
        <v>550200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+[8]BS17!$D33</f>
        <v>0</v>
      </c>
      <c r="D74" s="89"/>
      <c r="E74" s="90">
        <f>+[8]BS17A!V654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+[8]BS17!$D34</f>
        <v>0</v>
      </c>
      <c r="D75" s="94"/>
      <c r="E75" s="95">
        <f>+[8]BS17A!V783</f>
        <v>0</v>
      </c>
      <c r="F75" s="8"/>
    </row>
    <row r="76" spans="1:7" ht="15" customHeight="1" x14ac:dyDescent="0.2">
      <c r="A76" s="96"/>
      <c r="B76" s="252" t="s">
        <v>123</v>
      </c>
      <c r="C76" s="56">
        <f>+C55+C68+C75</f>
        <v>71964</v>
      </c>
      <c r="D76" s="57"/>
      <c r="E76" s="98">
        <f>+E55+E68+E75</f>
        <v>180365810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53" t="s">
        <v>124</v>
      </c>
      <c r="B79" s="754"/>
      <c r="C79" s="754"/>
      <c r="D79" s="754"/>
      <c r="E79" s="755"/>
      <c r="F79" s="51"/>
      <c r="G79" s="52"/>
    </row>
    <row r="80" spans="1:7" ht="45" customHeight="1" x14ac:dyDescent="0.2">
      <c r="A80" s="11" t="s">
        <v>8</v>
      </c>
      <c r="B80" s="250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+[8]BS17!D49</f>
        <v>0</v>
      </c>
      <c r="D81" s="61"/>
      <c r="E81" s="103">
        <f>+SUM([8]BS17A!V673+[8]BS17A!V719)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+[8]BS17!E130</f>
        <v>898</v>
      </c>
      <c r="D82" s="63"/>
      <c r="E82" s="105">
        <f>+[8]BS17A!V1574</f>
        <v>8030560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+[8]BS17A!D1849</f>
        <v>25</v>
      </c>
      <c r="D83" s="67"/>
      <c r="E83" s="106">
        <f>+[8]BS17A!V1849</f>
        <v>1749910</v>
      </c>
      <c r="F83" s="8"/>
    </row>
    <row r="84" spans="1:6" ht="17.25" customHeight="1" x14ac:dyDescent="0.2">
      <c r="A84" s="96"/>
      <c r="B84" s="252" t="s">
        <v>130</v>
      </c>
      <c r="C84" s="56">
        <f>+SUM(C81:C83)</f>
        <v>923</v>
      </c>
      <c r="D84" s="57"/>
      <c r="E84" s="107">
        <f>SUM(E81:E83)</f>
        <v>9780470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45" t="s">
        <v>131</v>
      </c>
      <c r="B87" s="746"/>
      <c r="C87" s="746"/>
      <c r="D87" s="746"/>
      <c r="E87" s="746"/>
      <c r="F87" s="747"/>
    </row>
    <row r="88" spans="1:6" ht="33.75" customHeight="1" x14ac:dyDescent="0.15">
      <c r="A88" s="762" t="s">
        <v>8</v>
      </c>
      <c r="B88" s="762" t="s">
        <v>9</v>
      </c>
      <c r="C88" s="756" t="s">
        <v>10</v>
      </c>
      <c r="D88" s="757"/>
      <c r="E88" s="757"/>
      <c r="F88" s="758"/>
    </row>
    <row r="89" spans="1:6" ht="45" customHeight="1" x14ac:dyDescent="0.15">
      <c r="A89" s="763"/>
      <c r="B89" s="763"/>
      <c r="C89" s="250" t="s">
        <v>132</v>
      </c>
      <c r="D89" s="108" t="s">
        <v>133</v>
      </c>
      <c r="E89" s="13" t="s">
        <v>134</v>
      </c>
      <c r="F89" s="251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+[8]BS17!F68</f>
        <v>0</v>
      </c>
      <c r="D90" s="110">
        <f>+[8]BS17!G68</f>
        <v>0</v>
      </c>
      <c r="E90" s="111">
        <f>+[8]BS17!H68</f>
        <v>0</v>
      </c>
      <c r="F90" s="112">
        <f>[8]BS17A!V811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+[8]BS17!F69</f>
        <v>94</v>
      </c>
      <c r="D91" s="114">
        <f>+[8]BS17!G69</f>
        <v>0</v>
      </c>
      <c r="E91" s="115">
        <f>+[8]BS17!H69</f>
        <v>0</v>
      </c>
      <c r="F91" s="116">
        <f>[8]BS17A!V882</f>
        <v>19009850</v>
      </c>
    </row>
    <row r="92" spans="1:6" ht="15" customHeight="1" x14ac:dyDescent="0.2">
      <c r="A92" s="22" t="s">
        <v>139</v>
      </c>
      <c r="B92" s="27" t="s">
        <v>140</v>
      </c>
      <c r="C92" s="113">
        <f>+[8]BS17!F70</f>
        <v>16</v>
      </c>
      <c r="D92" s="114">
        <f>+[8]BS17!G70</f>
        <v>1</v>
      </c>
      <c r="E92" s="115">
        <f>+[8]BS17!H70</f>
        <v>0</v>
      </c>
      <c r="F92" s="116">
        <f>[8]BS17A!V961</f>
        <v>1301525</v>
      </c>
    </row>
    <row r="93" spans="1:6" ht="15" customHeight="1" x14ac:dyDescent="0.2">
      <c r="A93" s="22" t="s">
        <v>141</v>
      </c>
      <c r="B93" s="27" t="s">
        <v>142</v>
      </c>
      <c r="C93" s="113">
        <f>+[8]BS17!F71</f>
        <v>9</v>
      </c>
      <c r="D93" s="114">
        <f>+[8]BS17!G71</f>
        <v>0</v>
      </c>
      <c r="E93" s="115">
        <f>+[8]BS17!H71</f>
        <v>0</v>
      </c>
      <c r="F93" s="116">
        <f>[8]BS17A!V1037</f>
        <v>813570</v>
      </c>
    </row>
    <row r="94" spans="1:6" ht="15" customHeight="1" x14ac:dyDescent="0.2">
      <c r="A94" s="22" t="s">
        <v>143</v>
      </c>
      <c r="B94" s="27" t="s">
        <v>144</v>
      </c>
      <c r="C94" s="113">
        <f>+[8]BS17!F72</f>
        <v>59</v>
      </c>
      <c r="D94" s="114">
        <f>+[8]BS17!G72</f>
        <v>2</v>
      </c>
      <c r="E94" s="115">
        <f>+[8]BS17!H72</f>
        <v>0</v>
      </c>
      <c r="F94" s="116">
        <f>[8]BS17A!V1098</f>
        <v>2697730</v>
      </c>
    </row>
    <row r="95" spans="1:6" ht="15" customHeight="1" x14ac:dyDescent="0.2">
      <c r="A95" s="22" t="s">
        <v>145</v>
      </c>
      <c r="B95" s="27" t="s">
        <v>146</v>
      </c>
      <c r="C95" s="113">
        <f>+[8]BS17!F73</f>
        <v>89</v>
      </c>
      <c r="D95" s="114">
        <f>+[8]BS17!G73</f>
        <v>1</v>
      </c>
      <c r="E95" s="115">
        <f>+[8]BS17!H73</f>
        <v>0</v>
      </c>
      <c r="F95" s="116">
        <f>[8]BS17A!V1166</f>
        <v>2311755</v>
      </c>
    </row>
    <row r="96" spans="1:6" ht="15" customHeight="1" x14ac:dyDescent="0.2">
      <c r="A96" s="22" t="s">
        <v>147</v>
      </c>
      <c r="B96" s="27" t="s">
        <v>148</v>
      </c>
      <c r="C96" s="113">
        <f>+[8]BS17!F74</f>
        <v>1</v>
      </c>
      <c r="D96" s="114">
        <f>+[8]BS17!G74</f>
        <v>0</v>
      </c>
      <c r="E96" s="115">
        <f>+[8]BS17!H74</f>
        <v>0</v>
      </c>
      <c r="F96" s="116">
        <f>[8]BS17A!V1221</f>
        <v>128680</v>
      </c>
    </row>
    <row r="97" spans="1:6" ht="15" customHeight="1" x14ac:dyDescent="0.2">
      <c r="A97" s="22" t="s">
        <v>149</v>
      </c>
      <c r="B97" s="27" t="s">
        <v>150</v>
      </c>
      <c r="C97" s="113">
        <f>+[8]BS17!F75</f>
        <v>7</v>
      </c>
      <c r="D97" s="114">
        <f>+[8]BS17!G75</f>
        <v>0</v>
      </c>
      <c r="E97" s="115">
        <f>+[8]BS17!H75</f>
        <v>0</v>
      </c>
      <c r="F97" s="116">
        <f>[8]BS17A!V1287</f>
        <v>647250</v>
      </c>
    </row>
    <row r="98" spans="1:6" ht="15" customHeight="1" x14ac:dyDescent="0.2">
      <c r="A98" s="22" t="s">
        <v>151</v>
      </c>
      <c r="B98" s="27" t="s">
        <v>152</v>
      </c>
      <c r="C98" s="113">
        <f>+[8]BS17!F76</f>
        <v>145</v>
      </c>
      <c r="D98" s="114">
        <f>+[8]BS17!G76</f>
        <v>12</v>
      </c>
      <c r="E98" s="115">
        <f>+[8]BS17!H76</f>
        <v>3</v>
      </c>
      <c r="F98" s="116">
        <f>[8]BS17A!V1357</f>
        <v>34584907.5</v>
      </c>
    </row>
    <row r="99" spans="1:6" ht="15" customHeight="1" x14ac:dyDescent="0.2">
      <c r="A99" s="22" t="s">
        <v>153</v>
      </c>
      <c r="B99" s="27" t="s">
        <v>154</v>
      </c>
      <c r="C99" s="113">
        <f>+[8]BS17!F77</f>
        <v>9</v>
      </c>
      <c r="D99" s="114">
        <f>+[8]BS17!G77</f>
        <v>0</v>
      </c>
      <c r="E99" s="115">
        <f>+[8]BS17!H77</f>
        <v>0</v>
      </c>
      <c r="F99" s="116">
        <f>[8]BS17A!V1441</f>
        <v>716870</v>
      </c>
    </row>
    <row r="100" spans="1:6" ht="15" customHeight="1" x14ac:dyDescent="0.2">
      <c r="A100" s="22" t="s">
        <v>155</v>
      </c>
      <c r="B100" s="27" t="s">
        <v>156</v>
      </c>
      <c r="C100" s="113">
        <f>+[8]BS17!F78</f>
        <v>29</v>
      </c>
      <c r="D100" s="114">
        <f>+[8]BS17!G78</f>
        <v>0</v>
      </c>
      <c r="E100" s="115">
        <f>+[8]BS17!H78</f>
        <v>0</v>
      </c>
      <c r="F100" s="116">
        <f>[8]BS17A!V1489</f>
        <v>6255600</v>
      </c>
    </row>
    <row r="101" spans="1:6" ht="15" customHeight="1" x14ac:dyDescent="0.2">
      <c r="A101" s="22" t="s">
        <v>157</v>
      </c>
      <c r="B101" s="27" t="s">
        <v>158</v>
      </c>
      <c r="C101" s="113">
        <f>+[8]BS17!F79</f>
        <v>6</v>
      </c>
      <c r="D101" s="114">
        <f>+[8]BS17!G79</f>
        <v>0</v>
      </c>
      <c r="E101" s="115">
        <f>+[8]BS17!H79</f>
        <v>0</v>
      </c>
      <c r="F101" s="116">
        <f>[8]BS17A!V1592</f>
        <v>1245930</v>
      </c>
    </row>
    <row r="102" spans="1:6" ht="15" customHeight="1" x14ac:dyDescent="0.2">
      <c r="A102" s="65" t="s">
        <v>159</v>
      </c>
      <c r="B102" s="29" t="s">
        <v>160</v>
      </c>
      <c r="C102" s="117">
        <f>+[8]BS17!F80</f>
        <v>43</v>
      </c>
      <c r="D102" s="118">
        <f>+[8]BS17!G80</f>
        <v>3</v>
      </c>
      <c r="E102" s="119">
        <f>+[8]BS17!H80</f>
        <v>1</v>
      </c>
      <c r="F102" s="120">
        <f>[8]BS17A!V1597</f>
        <v>8538477.5</v>
      </c>
    </row>
    <row r="103" spans="1:6" ht="15" customHeight="1" x14ac:dyDescent="0.2">
      <c r="A103" s="17" t="s">
        <v>161</v>
      </c>
      <c r="B103" s="36" t="s">
        <v>162</v>
      </c>
      <c r="C103" s="109">
        <f>+[8]BS17!F81</f>
        <v>60</v>
      </c>
      <c r="D103" s="110">
        <f>+[8]BS17!G81</f>
        <v>0</v>
      </c>
      <c r="E103" s="111">
        <f>+[8]BS17!H81</f>
        <v>0</v>
      </c>
      <c r="F103" s="112">
        <f>+[8]BS17A!V1631</f>
        <v>7255740</v>
      </c>
    </row>
    <row r="104" spans="1:6" ht="15" customHeight="1" x14ac:dyDescent="0.2">
      <c r="A104" s="22"/>
      <c r="B104" s="27" t="s">
        <v>163</v>
      </c>
      <c r="C104" s="113">
        <f>+[8]BS17A!D1635</f>
        <v>0</v>
      </c>
      <c r="D104" s="114">
        <f>+[8]BS17A!F1635</f>
        <v>0</v>
      </c>
      <c r="E104" s="115">
        <f>+[8]BS17A!G1635</f>
        <v>0</v>
      </c>
      <c r="F104" s="116">
        <f>+[8]BS17A!V1635</f>
        <v>0</v>
      </c>
    </row>
    <row r="105" spans="1:6" ht="15" customHeight="1" x14ac:dyDescent="0.2">
      <c r="A105" s="22"/>
      <c r="B105" s="27" t="s">
        <v>164</v>
      </c>
      <c r="C105" s="113">
        <f>+[8]BS17A!D1634</f>
        <v>38</v>
      </c>
      <c r="D105" s="114">
        <f>+[8]BS17A!F1634</f>
        <v>0</v>
      </c>
      <c r="E105" s="115">
        <f>+[8]BS17A!G1634</f>
        <v>0</v>
      </c>
      <c r="F105" s="116">
        <f>+[8]BS17A!V1634</f>
        <v>5047160</v>
      </c>
    </row>
    <row r="106" spans="1:6" ht="15" customHeight="1" x14ac:dyDescent="0.2">
      <c r="A106" s="28"/>
      <c r="B106" s="39" t="s">
        <v>165</v>
      </c>
      <c r="C106" s="121">
        <f>+[8]BS17A!D1632+[8]BS17A!D1633</f>
        <v>22</v>
      </c>
      <c r="D106" s="122">
        <f>+[8]BS17A!F1632+[8]BS17A!F1633</f>
        <v>0</v>
      </c>
      <c r="E106" s="123">
        <f>+[8]BS17A!G1632+[8]BS17A!G1633</f>
        <v>0</v>
      </c>
      <c r="F106" s="124">
        <f>+[8]BS17A!V1632+[8]BS17A!V1633</f>
        <v>2208580</v>
      </c>
    </row>
    <row r="107" spans="1:6" ht="15" customHeight="1" x14ac:dyDescent="0.2">
      <c r="A107" s="59" t="s">
        <v>166</v>
      </c>
      <c r="B107" s="79" t="s">
        <v>167</v>
      </c>
      <c r="C107" s="125">
        <f>+[8]BS17!F82</f>
        <v>38</v>
      </c>
      <c r="D107" s="126">
        <f>+[8]BS17!G82</f>
        <v>2</v>
      </c>
      <c r="E107" s="127">
        <f>+[8]BS17!H82</f>
        <v>0</v>
      </c>
      <c r="F107" s="128">
        <f>+[8]BS17A!V1639</f>
        <v>7779305</v>
      </c>
    </row>
    <row r="108" spans="1:6" ht="15" customHeight="1" x14ac:dyDescent="0.2">
      <c r="A108" s="129">
        <v>2106</v>
      </c>
      <c r="B108" s="39" t="s">
        <v>168</v>
      </c>
      <c r="C108" s="121">
        <f>[8]BS17A!D1845</f>
        <v>4</v>
      </c>
      <c r="D108" s="122">
        <f>[8]BS17A!F1845</f>
        <v>1</v>
      </c>
      <c r="E108" s="123">
        <f>[8]BS17A!G1845</f>
        <v>0</v>
      </c>
      <c r="F108" s="124">
        <f>+[8]BS17A!V1845</f>
        <v>305335</v>
      </c>
    </row>
    <row r="109" spans="1:6" ht="15" customHeight="1" x14ac:dyDescent="0.2">
      <c r="A109" s="130"/>
      <c r="B109" s="131" t="s">
        <v>169</v>
      </c>
      <c r="C109" s="132">
        <f>SUM(C90:C108)-C103</f>
        <v>609</v>
      </c>
      <c r="D109" s="133">
        <f>SUM(D90:D108)-D103</f>
        <v>22</v>
      </c>
      <c r="E109" s="134">
        <f>+SUM(E90:E103)+E107+E108</f>
        <v>4</v>
      </c>
      <c r="F109" s="135">
        <f>+SUM(F90:F103)+F107+F108</f>
        <v>93592525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53" t="s">
        <v>170</v>
      </c>
      <c r="B112" s="754"/>
      <c r="C112" s="754"/>
      <c r="D112" s="754"/>
      <c r="E112" s="755"/>
      <c r="F112" s="5"/>
    </row>
    <row r="113" spans="1:6" ht="49.5" customHeight="1" x14ac:dyDescent="0.2">
      <c r="A113" s="11" t="s">
        <v>8</v>
      </c>
      <c r="B113" s="11" t="s">
        <v>9</v>
      </c>
      <c r="C113" s="249" t="s">
        <v>10</v>
      </c>
      <c r="D113" s="13" t="s">
        <v>11</v>
      </c>
      <c r="E113" s="251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+[8]BS17A!D1636</f>
        <v>69</v>
      </c>
      <c r="D114" s="136">
        <f>+[8]BS17A!U1636</f>
        <v>132810</v>
      </c>
      <c r="E114" s="137">
        <f>+[8]BS17A!V1636</f>
        <v>9163890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+[8]BS17A!D1637</f>
        <v>2</v>
      </c>
      <c r="D115" s="139">
        <f>+[8]BS17A!U1637</f>
        <v>139740</v>
      </c>
      <c r="E115" s="106">
        <f>+[8]BS17A!V1637</f>
        <v>279480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71</v>
      </c>
      <c r="D116" s="57"/>
      <c r="E116" s="107">
        <f>SUM(E114:E115)</f>
        <v>9443370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64" t="s">
        <v>176</v>
      </c>
      <c r="B119" s="764"/>
      <c r="C119" s="764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+[8]BS17A!V1871+[8]BS17A!V1889+[8]BS17A!V1914</f>
        <v>13336820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53" t="s">
        <v>179</v>
      </c>
      <c r="B124" s="754"/>
      <c r="C124" s="754"/>
      <c r="D124" s="754"/>
      <c r="E124" s="755"/>
      <c r="F124" s="5"/>
    </row>
    <row r="125" spans="1:6" ht="45.75" customHeight="1" x14ac:dyDescent="0.2">
      <c r="A125" s="11" t="s">
        <v>8</v>
      </c>
      <c r="B125" s="11" t="s">
        <v>9</v>
      </c>
      <c r="C125" s="249" t="s">
        <v>10</v>
      </c>
      <c r="D125" s="13" t="s">
        <v>11</v>
      </c>
      <c r="E125" s="251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+[8]BS17A!$D59</f>
        <v>5451</v>
      </c>
      <c r="D126" s="37">
        <f>+[8]BS17A!$U59</f>
        <v>34010</v>
      </c>
      <c r="E126" s="145">
        <f>+[8]BS17A!$V59</f>
        <v>185388510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+[8]BS17A!$D60</f>
        <v>0</v>
      </c>
      <c r="D127" s="24">
        <f>+[8]BS17A!$U60</f>
        <v>31310</v>
      </c>
      <c r="E127" s="146">
        <f>+[8]BS17A!$V60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+[8]BS17A!$D61</f>
        <v>0</v>
      </c>
      <c r="D128" s="24">
        <f>+[8]BS17A!$U61</f>
        <v>26100</v>
      </c>
      <c r="E128" s="146">
        <f>+[8]BS17A!$V61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SUM([8]BS17A!D62:D64)</f>
        <v>205</v>
      </c>
      <c r="D129" s="24">
        <f>+[8]BS17A!$U62</f>
        <v>141410</v>
      </c>
      <c r="E129" s="146">
        <f>SUM([8]BS17A!V62:V64)</f>
        <v>28989050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SUM([8]BS17A!D65:D67)</f>
        <v>314</v>
      </c>
      <c r="D130" s="24">
        <f>+[8]BS17A!$U65</f>
        <v>68290</v>
      </c>
      <c r="E130" s="146">
        <f>SUM([8]BS17A!V65:V67)</f>
        <v>21443060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+[8]BS17A!D68</f>
        <v>155</v>
      </c>
      <c r="D131" s="24">
        <f>+[8]BS17A!$U68</f>
        <v>61270</v>
      </c>
      <c r="E131" s="146">
        <f>+[8]BS17A!$V68</f>
        <v>9496850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+[8]BS17A!$D69</f>
        <v>0</v>
      </c>
      <c r="D132" s="24">
        <f>+[8]BS17A!$U69</f>
        <v>17390</v>
      </c>
      <c r="E132" s="146">
        <f>+[8]BS17A!$V69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+[8]BS17A!$D70</f>
        <v>0</v>
      </c>
      <c r="D133" s="24">
        <f>+[8]BS17A!$U70</f>
        <v>27240</v>
      </c>
      <c r="E133" s="146">
        <f>+[8]BS17A!$V70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+[8]BS17A!$D73</f>
        <v>0</v>
      </c>
      <c r="D134" s="24">
        <f>+[8]BS17A!$U73</f>
        <v>27470</v>
      </c>
      <c r="E134" s="146">
        <f>+[8]BS17A!$V73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+[8]BS17A!$D71</f>
        <v>0</v>
      </c>
      <c r="D135" s="24">
        <f>+[8]BS17A!$U71</f>
        <v>28360</v>
      </c>
      <c r="E135" s="146">
        <f>+[8]BS17A!$V71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+[8]BS17A!$D76</f>
        <v>0</v>
      </c>
      <c r="D136" s="24">
        <f>+[8]BS17A!$U76</f>
        <v>34010</v>
      </c>
      <c r="E136" s="146">
        <f>+[8]BS17A!$V76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+[8]BS17A!$D79</f>
        <v>30</v>
      </c>
      <c r="D137" s="24">
        <f>+[8]BS17A!$U79</f>
        <v>6600</v>
      </c>
      <c r="E137" s="146">
        <f>+[8]BS17A!$V79</f>
        <v>198000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+[8]BS17A!$D80</f>
        <v>0</v>
      </c>
      <c r="D138" s="24">
        <f>+[8]BS17A!$U80</f>
        <v>47670</v>
      </c>
      <c r="E138" s="146">
        <f>+[8]BS17A!$V80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6155</v>
      </c>
      <c r="D139" s="149"/>
      <c r="E139" s="150">
        <f>SUM(E126:E138)</f>
        <v>245515470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+[8]BS17A!$D72</f>
        <v>0</v>
      </c>
      <c r="D141" s="24">
        <f>+[8]BS17A!$U72</f>
        <v>11430</v>
      </c>
      <c r="E141" s="146">
        <f>+[8]BS17A!$V72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+[8]BS17A!$D74</f>
        <v>0</v>
      </c>
      <c r="D142" s="24">
        <f>+[8]BS17A!$U74</f>
        <v>11430</v>
      </c>
      <c r="E142" s="146">
        <f>+[8]BS17A!$V74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+[8]BS17A!$D75</f>
        <v>4</v>
      </c>
      <c r="D143" s="24">
        <f>+[8]BS17A!$U75</f>
        <v>5040</v>
      </c>
      <c r="E143" s="146">
        <f>+[8]BS17A!$V75</f>
        <v>20160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+[8]BS17A!$D77</f>
        <v>0</v>
      </c>
      <c r="D144" s="24">
        <f>+[8]BS17A!$U77</f>
        <v>91950</v>
      </c>
      <c r="E144" s="146">
        <f>+[8]BS17A!$V77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+[8]BS17A!$D78</f>
        <v>0</v>
      </c>
      <c r="D145" s="24">
        <f>+[8]BS17A!$U78</f>
        <v>10860</v>
      </c>
      <c r="E145" s="146">
        <f>+[8]BS17A!$V78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+[8]BS17A!$D81</f>
        <v>0</v>
      </c>
      <c r="D146" s="24">
        <f>+[8]BS17A!$U81</f>
        <v>8360</v>
      </c>
      <c r="E146" s="146">
        <f>+[8]BS17A!$V81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4</v>
      </c>
      <c r="D147" s="149"/>
      <c r="E147" s="150">
        <f>SUM(E141:E146)</f>
        <v>20160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6159</v>
      </c>
      <c r="D148" s="151"/>
      <c r="E148" s="152">
        <f>+E139+E147</f>
        <v>245535630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45" t="s">
        <v>222</v>
      </c>
      <c r="B151" s="746"/>
      <c r="C151" s="746"/>
      <c r="D151" s="746"/>
      <c r="E151" s="747"/>
      <c r="F151" s="5"/>
    </row>
    <row r="152" spans="1:6" ht="47.25" customHeight="1" x14ac:dyDescent="0.2">
      <c r="A152" s="11" t="s">
        <v>8</v>
      </c>
      <c r="B152" s="11" t="s">
        <v>9</v>
      </c>
      <c r="C152" s="249" t="s">
        <v>10</v>
      </c>
      <c r="D152" s="13" t="s">
        <v>11</v>
      </c>
      <c r="E152" s="251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+[8]BS17A!D43</f>
        <v>205</v>
      </c>
      <c r="D153" s="37">
        <f>[8]BS17A!U43</f>
        <v>780</v>
      </c>
      <c r="E153" s="145">
        <f>+[8]BS17A!V43</f>
        <v>159900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+[8]BS17A!D44+[8]BS17A!D45</f>
        <v>0</v>
      </c>
      <c r="D154" s="40">
        <f>[8]BS17A!U44</f>
        <v>100</v>
      </c>
      <c r="E154" s="153">
        <f>+[8]BS17A!V44+[8]BS17A!V45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205</v>
      </c>
      <c r="D155" s="151"/>
      <c r="E155" s="152">
        <f>SUM(E153:E154)</f>
        <v>159900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45" t="s">
        <v>228</v>
      </c>
      <c r="B158" s="746"/>
      <c r="C158" s="746"/>
      <c r="D158" s="746"/>
      <c r="E158" s="747"/>
      <c r="F158" s="5"/>
    </row>
    <row r="159" spans="1:6" ht="47.25" customHeight="1" x14ac:dyDescent="0.2">
      <c r="A159" s="11" t="s">
        <v>8</v>
      </c>
      <c r="B159" s="11" t="s">
        <v>9</v>
      </c>
      <c r="C159" s="249" t="s">
        <v>10</v>
      </c>
      <c r="D159" s="13" t="s">
        <v>11</v>
      </c>
      <c r="E159" s="251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+[8]BS17A!$D1481</f>
        <v>0</v>
      </c>
      <c r="D160" s="37">
        <f>+[8]BS17A!$U1481</f>
        <v>42830</v>
      </c>
      <c r="E160" s="145">
        <f>+[8]BS17A!$V1481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+[8]BS17A!$D1482</f>
        <v>0</v>
      </c>
      <c r="D161" s="24">
        <f>+[8]BS17A!$U1482</f>
        <v>26930</v>
      </c>
      <c r="E161" s="146">
        <f>+[8]BS17A!$V1482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+[8]BS17A!$D1483</f>
        <v>0</v>
      </c>
      <c r="D162" s="24">
        <f>+[8]BS17A!$U1483</f>
        <v>27740</v>
      </c>
      <c r="E162" s="146">
        <f>+[8]BS17A!$V1483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+[8]BS17A!$D1484</f>
        <v>0</v>
      </c>
      <c r="D163" s="24">
        <f>+[8]BS17A!$U1484</f>
        <v>832280</v>
      </c>
      <c r="E163" s="146">
        <f>+[8]BS17A!$V1484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+[8]BS17A!$D1485</f>
        <v>0</v>
      </c>
      <c r="D164" s="24">
        <f>+[8]BS17A!$U1485</f>
        <v>378030</v>
      </c>
      <c r="E164" s="146">
        <f>+[8]BS17A!$V1485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+[8]BS17A!$D1486</f>
        <v>0</v>
      </c>
      <c r="D165" s="24">
        <f>+[8]BS17A!$U1486</f>
        <v>578050</v>
      </c>
      <c r="E165" s="146">
        <f>+[8]BS17A!$V1486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+[8]BS17A!$D1487</f>
        <v>0</v>
      </c>
      <c r="D166" s="24">
        <f>+[8]BS17A!$U1487</f>
        <v>52120</v>
      </c>
      <c r="E166" s="146">
        <f>+[8]BS17A!$V1487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+[8]BS17A!$D1488</f>
        <v>0</v>
      </c>
      <c r="D167" s="40">
        <f>+[8]BS17A!$U1488</f>
        <v>677560</v>
      </c>
      <c r="E167" s="153">
        <f>+[8]BS17A!$V1488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53" t="s">
        <v>245</v>
      </c>
      <c r="B171" s="754"/>
      <c r="C171" s="754"/>
      <c r="D171" s="754"/>
      <c r="E171" s="755"/>
      <c r="F171" s="5"/>
    </row>
    <row r="172" spans="1:6" ht="46.5" customHeight="1" x14ac:dyDescent="0.2">
      <c r="A172" s="11" t="s">
        <v>8</v>
      </c>
      <c r="B172" s="11" t="s">
        <v>9</v>
      </c>
      <c r="C172" s="249" t="s">
        <v>10</v>
      </c>
      <c r="D172" s="13" t="s">
        <v>11</v>
      </c>
      <c r="E172" s="251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+[8]BS17A!$D805</f>
        <v>15</v>
      </c>
      <c r="D173" s="37">
        <f>+[8]BS17A!$U805</f>
        <v>14690</v>
      </c>
      <c r="E173" s="145">
        <f>+[8]BS17A!$V805</f>
        <v>220350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+[8]BS17A!$D806</f>
        <v>0</v>
      </c>
      <c r="D174" s="24">
        <f>+[8]BS17A!$U806</f>
        <v>11740</v>
      </c>
      <c r="E174" s="146">
        <f>+[8]BS17A!$V806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+[8]BS17A!$D1197</f>
        <v>461</v>
      </c>
      <c r="D175" s="24">
        <f>+[8]BS17A!$U1197</f>
        <v>5030</v>
      </c>
      <c r="E175" s="146">
        <f>+[8]BS17A!$V1197</f>
        <v>2318830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+[8]BS17A!$D1198</f>
        <v>39</v>
      </c>
      <c r="D176" s="24">
        <f>+[8]BS17A!$U1198</f>
        <v>14180</v>
      </c>
      <c r="E176" s="146">
        <f>+[8]BS17A!$V1198</f>
        <v>553020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+[8]BS17A!$D1199</f>
        <v>63</v>
      </c>
      <c r="D177" s="24">
        <f>+[8]BS17A!$U1199</f>
        <v>24050</v>
      </c>
      <c r="E177" s="146">
        <f>+[8]BS17A!$V1199</f>
        <v>1515150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+[8]BS17A!$D1200</f>
        <v>0</v>
      </c>
      <c r="D178" s="24">
        <f>+[8]BS17A!$U1200</f>
        <v>45920</v>
      </c>
      <c r="E178" s="146">
        <f>+[8]BS17A!$V1200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+[8]BS17A!$D1201</f>
        <v>138</v>
      </c>
      <c r="D179" s="24">
        <f>+[8]BS17A!$U1201</f>
        <v>51180</v>
      </c>
      <c r="E179" s="146">
        <f>+[8]BS17A!$V1201</f>
        <v>7062840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+[8]BS17A!$D1202</f>
        <v>0</v>
      </c>
      <c r="D180" s="24">
        <f>+[8]BS17A!$U1202</f>
        <v>28710</v>
      </c>
      <c r="E180" s="146">
        <f>+[8]BS17A!$V1202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+[8]BS17A!$D1203</f>
        <v>0</v>
      </c>
      <c r="D181" s="24">
        <f>+[8]BS17A!$U1203</f>
        <v>222100</v>
      </c>
      <c r="E181" s="146">
        <f>+[8]BS17A!$V1203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+[8]BS17A!$D1204</f>
        <v>0</v>
      </c>
      <c r="D182" s="24">
        <f>+[8]BS17A!$U1204</f>
        <v>252490</v>
      </c>
      <c r="E182" s="146">
        <f>+[8]BS17A!$V1204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+[8]BS17A!$D1205</f>
        <v>0</v>
      </c>
      <c r="D183" s="24">
        <f>+[8]BS17A!$U1205</f>
        <v>205900</v>
      </c>
      <c r="E183" s="146">
        <f>+[8]BS17A!$V1205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+[8]BS17A!$D1206</f>
        <v>0</v>
      </c>
      <c r="D184" s="24">
        <f>+[8]BS17A!$U1206</f>
        <v>264470</v>
      </c>
      <c r="E184" s="146">
        <f>+[8]BS17A!$V1206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+[8]BS17A!$D1207</f>
        <v>0</v>
      </c>
      <c r="D185" s="24">
        <f>+[8]BS17A!$U1207</f>
        <v>270610</v>
      </c>
      <c r="E185" s="146">
        <f>+[8]BS17A!$V1207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+[8]BS17A!$D1208</f>
        <v>0</v>
      </c>
      <c r="D186" s="24">
        <f>+[8]BS17A!$U1208</f>
        <v>228850</v>
      </c>
      <c r="E186" s="146">
        <f>+[8]BS17A!$V1208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+[8]BS17A!$D1209</f>
        <v>0</v>
      </c>
      <c r="D187" s="24">
        <f>+[8]BS17A!$U1209</f>
        <v>244270</v>
      </c>
      <c r="E187" s="146">
        <f>+[8]BS17A!$V1209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+[8]BS17A!$D1210</f>
        <v>0</v>
      </c>
      <c r="D188" s="24">
        <f>+[8]BS17A!$U1210</f>
        <v>292090</v>
      </c>
      <c r="E188" s="146">
        <f>+[8]BS17A!$V1210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+[8]BS17A!$D1211</f>
        <v>0</v>
      </c>
      <c r="D189" s="24">
        <f>+[8]BS17A!$U1211</f>
        <v>259010</v>
      </c>
      <c r="E189" s="146">
        <f>+[8]BS17A!$V1211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+[8]BS17A!$D1212</f>
        <v>0</v>
      </c>
      <c r="D190" s="24">
        <f>+[8]BS17A!$U1212</f>
        <v>1895520</v>
      </c>
      <c r="E190" s="146">
        <f>+[8]BS17A!$V1212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+[8]BS17A!$D1213</f>
        <v>0</v>
      </c>
      <c r="D191" s="24">
        <f>+[8]BS17A!$U1213</f>
        <v>1183940</v>
      </c>
      <c r="E191" s="146">
        <f>+[8]BS17A!$V1213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+[8]BS17A!$D1214</f>
        <v>0</v>
      </c>
      <c r="D192" s="24">
        <f>+[8]BS17A!$U1214</f>
        <v>1145920</v>
      </c>
      <c r="E192" s="146">
        <f>+[8]BS17A!$V1214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+[8]BS17A!$D1215</f>
        <v>0</v>
      </c>
      <c r="D193" s="24">
        <f>+[8]BS17A!$U1215</f>
        <v>1200500</v>
      </c>
      <c r="E193" s="146">
        <f>+[8]BS17A!$V1215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+[8]BS17A!$D1216</f>
        <v>0</v>
      </c>
      <c r="D194" s="24">
        <f>+[8]BS17A!$U1216</f>
        <v>169880</v>
      </c>
      <c r="E194" s="146">
        <f>+[8]BS17A!$V1216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+[8]BS17A!$D1217</f>
        <v>0</v>
      </c>
      <c r="D195" s="24">
        <f>+[8]BS17A!$U1217</f>
        <v>387660</v>
      </c>
      <c r="E195" s="146">
        <f>+[8]BS17A!$V1217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+[8]BS17A!$D1218</f>
        <v>0</v>
      </c>
      <c r="D196" s="24">
        <f>+[8]BS17A!$U1218</f>
        <v>143720</v>
      </c>
      <c r="E196" s="146">
        <f>+[8]BS17A!$V1218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+[8]BS17A!$D1219</f>
        <v>0</v>
      </c>
      <c r="D197" s="24">
        <f>+[8]BS17A!$U1219</f>
        <v>1164440</v>
      </c>
      <c r="E197" s="146">
        <f>+[8]BS17A!$V1219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+[8]BS17A!$D1220</f>
        <v>0</v>
      </c>
      <c r="D198" s="24">
        <f>+[8]BS17A!$U1220</f>
        <v>1164440</v>
      </c>
      <c r="E198" s="146">
        <f>+[8]BS17A!$V1220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+[8]BS17A!$D1354</f>
        <v>74</v>
      </c>
      <c r="D199" s="24">
        <f>+[8]BS17A!$U1354</f>
        <v>34730</v>
      </c>
      <c r="E199" s="146">
        <f>+[8]BS17A!$V1354</f>
        <v>2570020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+[8]BS17A!$D1355</f>
        <v>0</v>
      </c>
      <c r="D200" s="24">
        <f>+[8]BS17A!$U1355</f>
        <v>41890</v>
      </c>
      <c r="E200" s="146">
        <f>+[8]BS17A!$V1355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+[8]BS17A!$D1356</f>
        <v>24</v>
      </c>
      <c r="D201" s="24">
        <f>+[8]BS17A!$U1356</f>
        <v>44620</v>
      </c>
      <c r="E201" s="146">
        <f>+[8]BS17A!$V1356</f>
        <v>1070880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[8]BS17A!D1036</f>
        <v>1</v>
      </c>
      <c r="D202" s="24">
        <f>[8]BS17A!U1036</f>
        <v>9390</v>
      </c>
      <c r="E202" s="146">
        <f>[8]BS17A!V1036</f>
        <v>9390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[8]BS17A!D807</f>
        <v>0</v>
      </c>
      <c r="D203" s="24">
        <f>[8]BS17A!U807</f>
        <v>398560</v>
      </c>
      <c r="E203" s="146">
        <f>[8]BS17A!V807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[8]BS17A!D808</f>
        <v>0</v>
      </c>
      <c r="D204" s="24">
        <f>[8]BS17A!U808</f>
        <v>8946190</v>
      </c>
      <c r="E204" s="146">
        <f>[8]BS17A!V808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[8]BS17A!D809</f>
        <v>0</v>
      </c>
      <c r="D205" s="24">
        <f>[8]BS17A!U809</f>
        <v>229650</v>
      </c>
      <c r="E205" s="146">
        <f>[8]BS17A!V809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[8]BS17A!D810</f>
        <v>0</v>
      </c>
      <c r="D206" s="40">
        <f>[8]BS17A!U810</f>
        <v>1047210</v>
      </c>
      <c r="E206" s="153">
        <f>[8]BS17A!V810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815</v>
      </c>
      <c r="D207" s="151"/>
      <c r="E207" s="152">
        <f>SUM(E173:E206)</f>
        <v>15320480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53" t="s">
        <v>310</v>
      </c>
      <c r="B210" s="754"/>
      <c r="C210" s="754"/>
      <c r="D210" s="754"/>
      <c r="E210" s="755"/>
      <c r="F210" s="5"/>
    </row>
    <row r="211" spans="1:6" ht="39.75" customHeight="1" x14ac:dyDescent="0.2">
      <c r="A211" s="11" t="s">
        <v>8</v>
      </c>
      <c r="B211" s="11" t="s">
        <v>9</v>
      </c>
      <c r="C211" s="249" t="s">
        <v>10</v>
      </c>
      <c r="D211" s="13" t="s">
        <v>11</v>
      </c>
      <c r="E211" s="251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+[8]BS17A!$D18</f>
        <v>0</v>
      </c>
      <c r="D212" s="37">
        <f>+[8]BS17A!$U18</f>
        <v>14530</v>
      </c>
      <c r="E212" s="145">
        <f>+[8]BS17A!$V18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+[8]BS17A!$D19</f>
        <v>50</v>
      </c>
      <c r="D213" s="24">
        <f>+[8]BS17A!$U19</f>
        <v>14530</v>
      </c>
      <c r="E213" s="146">
        <f>+[8]BS17A!$V19</f>
        <v>726500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+[8]BS17A!$D47</f>
        <v>0</v>
      </c>
      <c r="D214" s="24">
        <f>+[8]BS17A!$U47</f>
        <v>1390</v>
      </c>
      <c r="E214" s="146">
        <f>+[8]BS17A!$V47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+[8]BS17A!$D48</f>
        <v>481</v>
      </c>
      <c r="D215" s="24">
        <f>+[8]BS17A!$U48</f>
        <v>680</v>
      </c>
      <c r="E215" s="146">
        <f>+[8]BS17A!$V48</f>
        <v>327080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+[8]BS17A!$D49</f>
        <v>4708</v>
      </c>
      <c r="D216" s="24">
        <f>+[8]BS17A!$U49</f>
        <v>2060</v>
      </c>
      <c r="E216" s="146">
        <f>+[8]BS17A!$V49</f>
        <v>9698480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+[8]BS17A!$D50</f>
        <v>67</v>
      </c>
      <c r="D217" s="24">
        <f>+[8]BS17A!$U50</f>
        <v>15480</v>
      </c>
      <c r="E217" s="146">
        <f>+[8]BS17A!$V50</f>
        <v>1037160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+[8]BS17A!$D51</f>
        <v>106</v>
      </c>
      <c r="D218" s="24">
        <f>+[8]BS17A!$U51</f>
        <v>35550</v>
      </c>
      <c r="E218" s="146">
        <f>+[8]BS17A!$V51</f>
        <v>3768300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+[8]BS17A!D52</f>
        <v>10</v>
      </c>
      <c r="D219" s="174"/>
      <c r="E219" s="146">
        <f>+[8]BS17A!V52</f>
        <v>88700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+[8]BS17A!$D1861</f>
        <v>36</v>
      </c>
      <c r="D220" s="40">
        <f>+[8]BS17A!$U1861</f>
        <v>28810</v>
      </c>
      <c r="E220" s="153">
        <f>+[8]BS17A!$V1861</f>
        <v>1037160</v>
      </c>
      <c r="F220" s="8"/>
    </row>
    <row r="221" spans="1:6" ht="12.75" x14ac:dyDescent="0.2">
      <c r="A221" s="130"/>
      <c r="B221" s="131" t="s">
        <v>329</v>
      </c>
      <c r="C221" s="44">
        <f>SUM(C212:C220)</f>
        <v>5458</v>
      </c>
      <c r="D221" s="151"/>
      <c r="E221" s="175">
        <f>SUM(E212:E220)</f>
        <v>16683380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65" t="s">
        <v>330</v>
      </c>
      <c r="B224" s="766"/>
      <c r="C224" s="767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53" t="s">
        <v>336</v>
      </c>
      <c r="B231" s="754"/>
      <c r="C231" s="754"/>
      <c r="D231" s="754"/>
      <c r="E231" s="755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249" t="s">
        <v>10</v>
      </c>
      <c r="D232" s="13" t="s">
        <v>11</v>
      </c>
      <c r="E232" s="251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+[8]BS17A!$D1941</f>
        <v>80</v>
      </c>
      <c r="D233" s="37">
        <f>+[8]BS17A!$U1941</f>
        <v>19890</v>
      </c>
      <c r="E233" s="145">
        <f>+[8]BS17A!$V1941</f>
        <v>1591200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+[8]BS17A!$D1942</f>
        <v>0</v>
      </c>
      <c r="D234" s="40">
        <f>+[8]BS17A!$U1942</f>
        <v>249320</v>
      </c>
      <c r="E234" s="153">
        <f>+[8]BS17A!$V1942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80</v>
      </c>
      <c r="D235" s="151"/>
      <c r="E235" s="152">
        <f>SUM(E233:E234)</f>
        <v>1591200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9" t="s">
        <v>342</v>
      </c>
      <c r="B238" s="754"/>
      <c r="C238" s="754"/>
      <c r="D238" s="754"/>
      <c r="E238" s="755"/>
      <c r="F238" s="8"/>
    </row>
    <row r="239" spans="1:7" ht="41.25" customHeight="1" x14ac:dyDescent="0.2">
      <c r="A239" s="11" t="s">
        <v>8</v>
      </c>
      <c r="B239" s="11" t="s">
        <v>9</v>
      </c>
      <c r="C239" s="249" t="s">
        <v>10</v>
      </c>
      <c r="D239" s="13" t="s">
        <v>11</v>
      </c>
      <c r="E239" s="251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[8]BS17A!D768</f>
        <v>775</v>
      </c>
      <c r="D240" s="191"/>
      <c r="E240" s="192">
        <f>[8]BS17A!V768</f>
        <v>5588660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9" t="s">
        <v>345</v>
      </c>
      <c r="B242" s="760"/>
      <c r="C242" s="760"/>
      <c r="D242" s="760"/>
      <c r="E242" s="761"/>
      <c r="F242" s="8"/>
    </row>
    <row r="243" spans="1:6" ht="43.5" customHeight="1" x14ac:dyDescent="0.2">
      <c r="A243" s="11" t="s">
        <v>8</v>
      </c>
      <c r="B243" s="249" t="s">
        <v>346</v>
      </c>
      <c r="C243" s="100" t="s">
        <v>347</v>
      </c>
      <c r="D243" s="13" t="s">
        <v>11</v>
      </c>
      <c r="E243" s="251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+[8]BS17A!$D1944</f>
        <v>0</v>
      </c>
      <c r="D244" s="37">
        <f>+[8]BS17A!$U1944</f>
        <v>254650</v>
      </c>
      <c r="E244" s="145">
        <f>+[8]BS17A!$V1944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+[8]BS17A!$D1945</f>
        <v>0</v>
      </c>
      <c r="D245" s="24">
        <f>+[8]BS17A!$U1945</f>
        <v>36180</v>
      </c>
      <c r="E245" s="146">
        <f>+[8]BS17A!$V1945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+[8]BS17A!$D1946</f>
        <v>0</v>
      </c>
      <c r="D246" s="24">
        <f>+[8]BS17A!$U1946</f>
        <v>136500</v>
      </c>
      <c r="E246" s="146">
        <f>+[8]BS17A!$V1946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+[8]BS17A!$D1947</f>
        <v>0</v>
      </c>
      <c r="D247" s="24">
        <f>+[8]BS17A!$U1947</f>
        <v>136500</v>
      </c>
      <c r="E247" s="146">
        <f>+[8]BS17A!$V1947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+[8]BS17A!$D1948</f>
        <v>0</v>
      </c>
      <c r="D248" s="24">
        <f>+[8]BS17A!$U1948</f>
        <v>248500</v>
      </c>
      <c r="E248" s="146">
        <f>+[8]BS17A!$V1948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+[8]BS17A!$D1949</f>
        <v>0</v>
      </c>
      <c r="D249" s="24">
        <f>+[8]BS17A!$U1949</f>
        <v>381350</v>
      </c>
      <c r="E249" s="146">
        <f>+[8]BS17A!$V1949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+[8]BS17A!$D1950</f>
        <v>0</v>
      </c>
      <c r="D250" s="24">
        <f>+[8]BS17A!$U1950</f>
        <v>650560</v>
      </c>
      <c r="E250" s="146">
        <f>+[8]BS17A!$V1950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+[8]BS17A!$D1951</f>
        <v>0</v>
      </c>
      <c r="D251" s="24">
        <f>+[8]BS17A!$U1951</f>
        <v>135500</v>
      </c>
      <c r="E251" s="146">
        <f>+[8]BS17A!$V1951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+[8]BS17A!$D1952</f>
        <v>0</v>
      </c>
      <c r="D252" s="24">
        <f>+[8]BS17A!$U1952</f>
        <v>365200</v>
      </c>
      <c r="E252" s="146">
        <f>+[8]BS17A!$V1952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+[8]BS17A!$D1953</f>
        <v>0</v>
      </c>
      <c r="D253" s="31">
        <f>+[8]BS17A!$U1953</f>
        <v>153770</v>
      </c>
      <c r="E253" s="198">
        <f>+[8]BS17A!$V1953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+[8]BS17A!$D1954</f>
        <v>0</v>
      </c>
      <c r="D254" s="31">
        <f>+[8]BS17A!$U1954</f>
        <v>133620</v>
      </c>
      <c r="E254" s="198">
        <f>+[8]BS17A!$V1954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+[8]BS17A!$D1955</f>
        <v>0</v>
      </c>
      <c r="D255" s="31">
        <f>+[8]BS17A!$U1955</f>
        <v>203150</v>
      </c>
      <c r="E255" s="198">
        <f>+[8]BS17A!$V1955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+[8]BS17A!$D1956</f>
        <v>0</v>
      </c>
      <c r="D256" s="31">
        <f>+[8]BS17A!$U1956</f>
        <v>53460</v>
      </c>
      <c r="E256" s="198">
        <f>+[8]BS17A!$V1956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+[8]BS17A!$D1957</f>
        <v>0</v>
      </c>
      <c r="D257" s="40">
        <f>+[8]BS17A!$U1957</f>
        <v>39950</v>
      </c>
      <c r="E257" s="153">
        <f>+[8]BS17A!$V1957</f>
        <v>0</v>
      </c>
      <c r="F257" s="8"/>
    </row>
    <row r="258" spans="1:6" ht="15" customHeight="1" x14ac:dyDescent="0.2">
      <c r="A258" s="756" t="s">
        <v>376</v>
      </c>
      <c r="B258" s="757"/>
      <c r="C258" s="757"/>
      <c r="D258" s="757"/>
      <c r="E258" s="758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+[8]BS17A!$D1958</f>
        <v>0</v>
      </c>
      <c r="D259" s="37">
        <f>+[8]BS17A!$U1958</f>
        <v>219080</v>
      </c>
      <c r="E259" s="145">
        <f>+[8]BS17A!$V1958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+[8]BS17A!$D1959</f>
        <v>0</v>
      </c>
      <c r="D260" s="24">
        <f>+[8]BS17A!$U1959</f>
        <v>1303250</v>
      </c>
      <c r="E260" s="146">
        <f>+[8]BS17A!$V1959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+[8]BS17A!$D1960</f>
        <v>0</v>
      </c>
      <c r="D261" s="24">
        <f>+[8]BS17A!$U1960</f>
        <v>196630</v>
      </c>
      <c r="E261" s="146">
        <f>+[8]BS17A!$V1960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+[8]BS17A!$D1961</f>
        <v>0</v>
      </c>
      <c r="D262" s="24">
        <f>+[8]BS17A!$U1961</f>
        <v>173880</v>
      </c>
      <c r="E262" s="146">
        <f>+[8]BS17A!$V1961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+[8]BS17A!$D1962</f>
        <v>0</v>
      </c>
      <c r="D263" s="24">
        <f>+[8]BS17A!$U1962</f>
        <v>352980</v>
      </c>
      <c r="E263" s="146">
        <f>+[8]BS17A!$V1962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+[8]BS17A!$D1963</f>
        <v>0</v>
      </c>
      <c r="D264" s="24">
        <f>+[8]BS17A!$U1963</f>
        <v>1173780</v>
      </c>
      <c r="E264" s="146">
        <f>+[8]BS17A!$V1963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+[8]BS17A!$D1964</f>
        <v>0</v>
      </c>
      <c r="D265" s="24">
        <f>+[8]BS17A!$U1964</f>
        <v>1206250</v>
      </c>
      <c r="E265" s="146">
        <f>+[8]BS17A!$V1964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+[8]BS17A!$D1965</f>
        <v>0</v>
      </c>
      <c r="D266" s="24">
        <f>+[8]BS17A!$U1965</f>
        <v>955090</v>
      </c>
      <c r="E266" s="146">
        <f>+[8]BS17A!$V1965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+[8]BS17A!$D1966</f>
        <v>0</v>
      </c>
      <c r="D267" s="24">
        <f>+[8]BS17A!$U1966</f>
        <v>1006570</v>
      </c>
      <c r="E267" s="146">
        <f>+[8]BS17A!$V1966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+[8]BS17A!$D1967</f>
        <v>0</v>
      </c>
      <c r="D268" s="24">
        <f>+[8]BS17A!$U1967</f>
        <v>397090</v>
      </c>
      <c r="E268" s="146">
        <f>+[8]BS17A!$V1967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+[8]BS17A!$D1968</f>
        <v>0</v>
      </c>
      <c r="D269" s="24">
        <f>+[8]BS17A!$U1968</f>
        <v>95100</v>
      </c>
      <c r="E269" s="146">
        <f>+[8]BS17A!$V1968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+[8]BS17A!$D1969</f>
        <v>0</v>
      </c>
      <c r="D270" s="24">
        <f>+[8]BS17A!$U1969</f>
        <v>283710</v>
      </c>
      <c r="E270" s="146">
        <f>+[8]BS17A!$V1969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+[8]BS17A!$D1970</f>
        <v>0</v>
      </c>
      <c r="D271" s="24">
        <f>+[8]BS17A!$U1970</f>
        <v>80220</v>
      </c>
      <c r="E271" s="146">
        <f>+[8]BS17A!$V1970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+[8]BS17A!$D1971</f>
        <v>0</v>
      </c>
      <c r="D272" s="24">
        <f>+[8]BS17A!$U1971</f>
        <v>1378400</v>
      </c>
      <c r="E272" s="146">
        <f>+[8]BS17A!$V1971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+[8]BS17A!$D1972</f>
        <v>0</v>
      </c>
      <c r="D273" s="24">
        <f>+[8]BS17A!$U1972</f>
        <v>322300</v>
      </c>
      <c r="E273" s="146">
        <f>+[8]BS17A!$V1972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+[8]BS17A!$D1973</f>
        <v>0</v>
      </c>
      <c r="D274" s="24">
        <f>+[8]BS17A!$U1973</f>
        <v>1079720</v>
      </c>
      <c r="E274" s="146">
        <f>+[8]BS17A!$V1973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+[8]BS17A!$D1974</f>
        <v>0</v>
      </c>
      <c r="D275" s="24">
        <f>+[8]BS17A!$U1974</f>
        <v>661000</v>
      </c>
      <c r="E275" s="146">
        <f>+[8]BS17A!$V1974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+[8]BS17A!$D1975</f>
        <v>0</v>
      </c>
      <c r="D276" s="31">
        <f>+[8]BS17A!$U1975</f>
        <v>539420</v>
      </c>
      <c r="E276" s="198">
        <f>+[8]BS17A!$V1975</f>
        <v>0</v>
      </c>
      <c r="F276" s="8"/>
    </row>
    <row r="277" spans="1:10" ht="15" customHeight="1" x14ac:dyDescent="0.2">
      <c r="A277" s="756" t="s">
        <v>412</v>
      </c>
      <c r="B277" s="757"/>
      <c r="C277" s="757"/>
      <c r="D277" s="757"/>
      <c r="E277" s="758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+[8]BS17A!$D1976</f>
        <v>0</v>
      </c>
      <c r="D278" s="20">
        <f>[8]BS17A!U1976</f>
        <v>290780</v>
      </c>
      <c r="E278" s="202">
        <f>+[8]BS17A!$V1976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+[8]BS17A!$D1977</f>
        <v>0</v>
      </c>
      <c r="D279" s="24">
        <f>[8]BS17A!U1977</f>
        <v>169530</v>
      </c>
      <c r="E279" s="146">
        <f>+[8]BS17A!$V1977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+[8]BS17A!$D1978</f>
        <v>0</v>
      </c>
      <c r="D280" s="24">
        <f>[8]BS17A!U1978</f>
        <v>409630</v>
      </c>
      <c r="E280" s="146">
        <f>+[8]BS17A!$V1978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+[8]BS17A!$D1979</f>
        <v>0</v>
      </c>
      <c r="D281" s="24">
        <f>[8]BS17A!U1979</f>
        <v>424500</v>
      </c>
      <c r="E281" s="146">
        <f>+[8]BS17A!$V1979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+[8]BS17A!$D1980</f>
        <v>0</v>
      </c>
      <c r="D282" s="40">
        <f>[8]BS17A!U1980</f>
        <v>265260</v>
      </c>
      <c r="E282" s="153">
        <f>+[8]BS17A!$V1980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+[8]BS17A!$D1981</f>
        <v>113</v>
      </c>
      <c r="D283" s="207">
        <f>[8]BS17A!U1981</f>
        <v>36070</v>
      </c>
      <c r="E283" s="192">
        <f>+[8]BS17A!$V1981</f>
        <v>4075910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113</v>
      </c>
      <c r="D284" s="151"/>
      <c r="E284" s="152">
        <f>SUM(E244:E283)</f>
        <v>4075910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9" t="s">
        <v>426</v>
      </c>
      <c r="B287" s="760"/>
      <c r="C287" s="760"/>
      <c r="D287" s="760"/>
      <c r="E287" s="761"/>
      <c r="F287" s="8"/>
    </row>
    <row r="288" spans="1:10" ht="44.25" customHeight="1" x14ac:dyDescent="0.2">
      <c r="A288" s="11" t="s">
        <v>8</v>
      </c>
      <c r="B288" s="11" t="s">
        <v>426</v>
      </c>
      <c r="C288" s="249" t="s">
        <v>347</v>
      </c>
      <c r="D288" s="13" t="s">
        <v>11</v>
      </c>
      <c r="E288" s="251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+[8]BS17A!$D1983</f>
        <v>3</v>
      </c>
      <c r="D289" s="37">
        <f>+[8]BS17A!$U1983</f>
        <v>7100</v>
      </c>
      <c r="E289" s="145">
        <f>+[8]BS17A!$V1983</f>
        <v>21300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+[8]BS17A!$D1984</f>
        <v>0</v>
      </c>
      <c r="D290" s="24">
        <f>+[8]BS17A!$U1984</f>
        <v>3780</v>
      </c>
      <c r="E290" s="146">
        <f>+[8]BS17A!$V1984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+[8]BS17A!$D1985</f>
        <v>1</v>
      </c>
      <c r="D291" s="24">
        <f>+[8]BS17A!$U1985</f>
        <v>14240</v>
      </c>
      <c r="E291" s="146">
        <f>+[8]BS17A!$V1985</f>
        <v>14240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+[8]BS17A!$D1986</f>
        <v>0</v>
      </c>
      <c r="D292" s="24">
        <f>+[8]BS17A!$U1986</f>
        <v>146040</v>
      </c>
      <c r="E292" s="146">
        <f>+[8]BS17A!$V1986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+[8]BS17A!$D1987</f>
        <v>0</v>
      </c>
      <c r="D293" s="40">
        <f>+[8]BS17A!$U1987</f>
        <v>802130</v>
      </c>
      <c r="E293" s="153">
        <f>+[8]BS17A!$V1987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4</v>
      </c>
      <c r="D294" s="57"/>
      <c r="E294" s="107">
        <f>SUM(E289:E293)</f>
        <v>35540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56" t="s">
        <v>438</v>
      </c>
      <c r="B297" s="757"/>
      <c r="C297" s="757"/>
      <c r="D297" s="757"/>
      <c r="E297" s="758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251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+[8]BS17A!$D1863</f>
        <v>222</v>
      </c>
      <c r="D299" s="37">
        <f>+[8]BS17A!$U1863</f>
        <v>18980</v>
      </c>
      <c r="E299" s="145">
        <f>+[8]BS17A!$V1863</f>
        <v>4213560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+[8]BS17A!$D1864</f>
        <v>187</v>
      </c>
      <c r="D300" s="24">
        <f>+[8]BS17A!$U1864</f>
        <v>59710</v>
      </c>
      <c r="E300" s="146">
        <f>+[8]BS17A!$V1864</f>
        <v>11165770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+[8]BS17A!$D1865</f>
        <v>0</v>
      </c>
      <c r="D301" s="24">
        <f>+[8]BS17A!$U1865</f>
        <v>74020</v>
      </c>
      <c r="E301" s="146">
        <f>+[8]BS17A!$V1865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+[8]BS17A!$D1866</f>
        <v>186</v>
      </c>
      <c r="D302" s="24">
        <f>+[8]BS17A!$U1866</f>
        <v>2600</v>
      </c>
      <c r="E302" s="146">
        <f>+[8]BS17A!$V1866</f>
        <v>483600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+[8]BS17A!$D1867</f>
        <v>0</v>
      </c>
      <c r="D303" s="24">
        <f>+[8]BS17A!$U1867</f>
        <v>70</v>
      </c>
      <c r="E303" s="146">
        <f>+[8]BS17A!$V1867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+[8]BS17A!$D1868</f>
        <v>0</v>
      </c>
      <c r="D304" s="24">
        <f>+[8]BS17A!$U1868</f>
        <v>157140</v>
      </c>
      <c r="E304" s="146">
        <f>+[8]BS17A!$V1868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+[8]BS17A!$D1869</f>
        <v>0</v>
      </c>
      <c r="D305" s="40">
        <f>+[8]BS17A!$U1869</f>
        <v>10680</v>
      </c>
      <c r="E305" s="153">
        <f>+[8]BS17A!$V1869</f>
        <v>0</v>
      </c>
      <c r="F305" s="8"/>
    </row>
    <row r="306" spans="1:7" ht="15" customHeight="1" x14ac:dyDescent="0.2">
      <c r="A306" s="96"/>
      <c r="B306" s="771" t="s">
        <v>454</v>
      </c>
      <c r="C306" s="772"/>
      <c r="D306" s="191"/>
      <c r="E306" s="220">
        <f>SUM(E299:E305)</f>
        <v>15862930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45" t="s">
        <v>455</v>
      </c>
      <c r="B309" s="746"/>
      <c r="C309" s="746"/>
      <c r="D309" s="746"/>
      <c r="E309" s="747"/>
      <c r="F309" s="178"/>
      <c r="G309" s="185"/>
    </row>
    <row r="310" spans="1:7" ht="12.75" x14ac:dyDescent="0.2">
      <c r="A310" s="221"/>
      <c r="B310" s="768" t="s">
        <v>456</v>
      </c>
      <c r="C310" s="769"/>
      <c r="D310" s="770"/>
      <c r="E310" s="222">
        <f>+E235+E240+E284+E294+E306</f>
        <v>27154240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45" t="s">
        <v>457</v>
      </c>
      <c r="B313" s="746"/>
      <c r="C313" s="746"/>
      <c r="D313" s="746"/>
      <c r="E313" s="747"/>
      <c r="F313" s="178"/>
      <c r="G313" s="185"/>
    </row>
    <row r="314" spans="1:7" ht="25.5" x14ac:dyDescent="0.2">
      <c r="A314" s="756" t="s">
        <v>458</v>
      </c>
      <c r="B314" s="757"/>
      <c r="C314" s="757"/>
      <c r="D314" s="758"/>
      <c r="E314" s="11" t="s">
        <v>12</v>
      </c>
      <c r="F314" s="178"/>
      <c r="G314" s="185"/>
    </row>
    <row r="315" spans="1:7" ht="15" customHeight="1" x14ac:dyDescent="0.2">
      <c r="A315" s="221"/>
      <c r="B315" s="768" t="s">
        <v>459</v>
      </c>
      <c r="C315" s="769"/>
      <c r="D315" s="770"/>
      <c r="E315" s="222">
        <f>+E50+E76+E84+F109+E116+C121+E148+E155+E168+E207+E221+C228+E310</f>
        <v>740602675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45" t="s">
        <v>460</v>
      </c>
      <c r="B318" s="746"/>
      <c r="C318" s="747"/>
      <c r="D318" s="8"/>
      <c r="E318" s="8"/>
      <c r="F318" s="5"/>
    </row>
    <row r="319" spans="1:7" ht="18" customHeight="1" x14ac:dyDescent="0.2">
      <c r="A319" s="756" t="s">
        <v>461</v>
      </c>
      <c r="B319" s="757"/>
      <c r="C319" s="758"/>
      <c r="D319" s="8"/>
      <c r="E319" s="8"/>
      <c r="F319" s="5"/>
    </row>
    <row r="320" spans="1:7" ht="30.75" customHeight="1" x14ac:dyDescent="0.2">
      <c r="A320" s="745" t="s">
        <v>462</v>
      </c>
      <c r="B320" s="746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7877436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93167133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101044569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74" t="str">
        <f>[8]NOMBRE!B12</f>
        <v>Sra. María Inés Núñez González</v>
      </c>
      <c r="F338" s="774"/>
    </row>
    <row r="339" spans="1:6" ht="12.75" x14ac:dyDescent="0.2">
      <c r="A339" s="186"/>
      <c r="B339" s="186"/>
      <c r="C339" s="186"/>
      <c r="D339" s="188"/>
      <c r="E339" s="773" t="str">
        <f>[8]NOMBRE!A12</f>
        <v>Jefe de Estadisticas</v>
      </c>
      <c r="F339" s="773"/>
    </row>
    <row r="340" spans="1:6" ht="12.75" x14ac:dyDescent="0.2">
      <c r="A340" s="186"/>
      <c r="B340" s="186"/>
      <c r="C340" s="186"/>
      <c r="D340" s="186"/>
      <c r="E340" s="248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74" t="str">
        <f>[8]NOMBRE!B11</f>
        <v>Dr. Francisco Martínez Cavalla</v>
      </c>
      <c r="F347" s="774"/>
    </row>
    <row r="348" spans="1:6" ht="22.5" customHeight="1" x14ac:dyDescent="0.2">
      <c r="A348" s="186"/>
      <c r="B348" s="186"/>
      <c r="C348" s="186"/>
      <c r="D348" s="215"/>
      <c r="E348" s="773" t="str">
        <f>CONCATENATE("Director ",[8]NOMBRE!B1)</f>
        <v xml:space="preserve">Director </v>
      </c>
      <c r="F348" s="773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2016-01-21T14:14:37Z</dcterms:modified>
</cp:coreProperties>
</file>