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085" yWindow="0" windowWidth="14715" windowHeight="12585" activeTab="12"/>
  </bookViews>
  <sheets>
    <sheet name="CONSOLIDADO" sheetId="2" r:id="rId1"/>
    <sheet name="ENERO 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45621"/>
</workbook>
</file>

<file path=xl/calcChain.xml><?xml version="1.0" encoding="utf-8"?>
<calcChain xmlns="http://schemas.openxmlformats.org/spreadsheetml/2006/main">
  <c r="E345" i="13" l="1"/>
  <c r="E344" i="13"/>
  <c r="E336" i="13"/>
  <c r="E335" i="13"/>
  <c r="C322" i="13"/>
  <c r="C330" i="13" s="1"/>
  <c r="E302" i="13"/>
  <c r="D302" i="13"/>
  <c r="C302" i="13"/>
  <c r="E301" i="13"/>
  <c r="D301" i="13"/>
  <c r="C301" i="13"/>
  <c r="E300" i="13"/>
  <c r="D300" i="13"/>
  <c r="C300" i="13"/>
  <c r="E299" i="13"/>
  <c r="D299" i="13"/>
  <c r="C299" i="13"/>
  <c r="E298" i="13"/>
  <c r="D298" i="13"/>
  <c r="C298" i="13"/>
  <c r="E297" i="13"/>
  <c r="D297" i="13"/>
  <c r="C297" i="13"/>
  <c r="E296" i="13"/>
  <c r="E303" i="13" s="1"/>
  <c r="D296" i="13"/>
  <c r="C296" i="13"/>
  <c r="E290" i="13"/>
  <c r="D290" i="13"/>
  <c r="C290" i="13"/>
  <c r="E289" i="13"/>
  <c r="D289" i="13"/>
  <c r="C289" i="13"/>
  <c r="E288" i="13"/>
  <c r="D288" i="13"/>
  <c r="C288" i="13"/>
  <c r="E287" i="13"/>
  <c r="E291" i="13" s="1"/>
  <c r="D287" i="13"/>
  <c r="C287" i="13"/>
  <c r="C291" i="13" s="1"/>
  <c r="E286" i="13"/>
  <c r="D286" i="13"/>
  <c r="C286" i="13"/>
  <c r="E280" i="13"/>
  <c r="D280" i="13"/>
  <c r="C280" i="13"/>
  <c r="E279" i="13"/>
  <c r="D279" i="13"/>
  <c r="C279" i="13"/>
  <c r="E278" i="13"/>
  <c r="D278" i="13"/>
  <c r="C278" i="13"/>
  <c r="E277" i="13"/>
  <c r="D277" i="13"/>
  <c r="C277" i="13"/>
  <c r="E276" i="13"/>
  <c r="D276" i="13"/>
  <c r="C276" i="13"/>
  <c r="E275" i="13"/>
  <c r="D275" i="13"/>
  <c r="C275" i="13"/>
  <c r="E273" i="13"/>
  <c r="D273" i="13"/>
  <c r="C273" i="13"/>
  <c r="E272" i="13"/>
  <c r="D272" i="13"/>
  <c r="C272" i="13"/>
  <c r="E271" i="13"/>
  <c r="D271" i="13"/>
  <c r="C271" i="13"/>
  <c r="E270" i="13"/>
  <c r="D270" i="13"/>
  <c r="C270" i="13"/>
  <c r="E269" i="13"/>
  <c r="D269" i="13"/>
  <c r="C269" i="13"/>
  <c r="E268" i="13"/>
  <c r="D268" i="13"/>
  <c r="C268" i="13"/>
  <c r="E267" i="13"/>
  <c r="D267" i="13"/>
  <c r="C267" i="13"/>
  <c r="E266" i="13"/>
  <c r="D266" i="13"/>
  <c r="C266" i="13"/>
  <c r="E265" i="13"/>
  <c r="D265" i="13"/>
  <c r="C265" i="13"/>
  <c r="E264" i="13"/>
  <c r="D264" i="13"/>
  <c r="C264" i="13"/>
  <c r="E263" i="13"/>
  <c r="D263" i="13"/>
  <c r="C263" i="13"/>
  <c r="E262" i="13"/>
  <c r="D262" i="13"/>
  <c r="C262" i="13"/>
  <c r="E261" i="13"/>
  <c r="D261" i="13"/>
  <c r="C261" i="13"/>
  <c r="E260" i="13"/>
  <c r="D260" i="13"/>
  <c r="C260" i="13"/>
  <c r="E259" i="13"/>
  <c r="D259" i="13"/>
  <c r="C259" i="13"/>
  <c r="E258" i="13"/>
  <c r="D258" i="13"/>
  <c r="C258" i="13"/>
  <c r="E257" i="13"/>
  <c r="D257" i="13"/>
  <c r="C257" i="13"/>
  <c r="E256" i="13"/>
  <c r="D256" i="13"/>
  <c r="C256" i="13"/>
  <c r="E254" i="13"/>
  <c r="D254" i="13"/>
  <c r="C254" i="13"/>
  <c r="E253" i="13"/>
  <c r="D253" i="13"/>
  <c r="C253" i="13"/>
  <c r="E252" i="13"/>
  <c r="D252" i="13"/>
  <c r="C252" i="13"/>
  <c r="E251" i="13"/>
  <c r="D251" i="13"/>
  <c r="C251" i="13"/>
  <c r="E250" i="13"/>
  <c r="D250" i="13"/>
  <c r="C250" i="13"/>
  <c r="E249" i="13"/>
  <c r="D249" i="13"/>
  <c r="C249" i="13"/>
  <c r="E248" i="13"/>
  <c r="D248" i="13"/>
  <c r="C248" i="13"/>
  <c r="E247" i="13"/>
  <c r="D247" i="13"/>
  <c r="C247" i="13"/>
  <c r="E246" i="13"/>
  <c r="D246" i="13"/>
  <c r="C246" i="13"/>
  <c r="E245" i="13"/>
  <c r="D245" i="13"/>
  <c r="C245" i="13"/>
  <c r="E244" i="13"/>
  <c r="E281" i="13" s="1"/>
  <c r="D244" i="13"/>
  <c r="C244" i="13"/>
  <c r="E243" i="13"/>
  <c r="D243" i="13"/>
  <c r="C243" i="13"/>
  <c r="E242" i="13"/>
  <c r="D242" i="13"/>
  <c r="C242" i="13"/>
  <c r="E241" i="13"/>
  <c r="D241" i="13"/>
  <c r="C241" i="13"/>
  <c r="C281" i="13" s="1"/>
  <c r="E237" i="13"/>
  <c r="C237" i="13"/>
  <c r="E231" i="13"/>
  <c r="E232" i="13" s="1"/>
  <c r="E307" i="13" s="1"/>
  <c r="D231" i="13"/>
  <c r="C231" i="13"/>
  <c r="C232" i="13" s="1"/>
  <c r="E230" i="13"/>
  <c r="D230" i="13"/>
  <c r="C230" i="13"/>
  <c r="C225" i="13"/>
  <c r="E217" i="13"/>
  <c r="D217" i="13"/>
  <c r="C217" i="13"/>
  <c r="E216" i="13"/>
  <c r="C216" i="13"/>
  <c r="E215" i="13"/>
  <c r="D215" i="13"/>
  <c r="C215" i="13"/>
  <c r="E214" i="13"/>
  <c r="D214" i="13"/>
  <c r="C214" i="13"/>
  <c r="E213" i="13"/>
  <c r="D213" i="13"/>
  <c r="C213" i="13"/>
  <c r="E212" i="13"/>
  <c r="D212" i="13"/>
  <c r="C212" i="13"/>
  <c r="E211" i="13"/>
  <c r="D211" i="13"/>
  <c r="C211" i="13"/>
  <c r="C218" i="13" s="1"/>
  <c r="E210" i="13"/>
  <c r="D210" i="13"/>
  <c r="C210" i="13"/>
  <c r="E209" i="13"/>
  <c r="E218" i="13" s="1"/>
  <c r="D209" i="13"/>
  <c r="C209" i="13"/>
  <c r="E203" i="13"/>
  <c r="D203" i="13"/>
  <c r="C203" i="13"/>
  <c r="E202" i="13"/>
  <c r="D202" i="13"/>
  <c r="C202" i="13"/>
  <c r="E201" i="13"/>
  <c r="D201" i="13"/>
  <c r="C201" i="13"/>
  <c r="E200" i="13"/>
  <c r="D200" i="13"/>
  <c r="C200" i="13"/>
  <c r="E199" i="13"/>
  <c r="D199" i="13"/>
  <c r="C199" i="13"/>
  <c r="E198" i="13"/>
  <c r="D198" i="13"/>
  <c r="C198" i="13"/>
  <c r="E197" i="13"/>
  <c r="D197" i="13"/>
  <c r="C197" i="13"/>
  <c r="E196" i="13"/>
  <c r="D196" i="13"/>
  <c r="C196" i="13"/>
  <c r="E195" i="13"/>
  <c r="D195" i="13"/>
  <c r="C195" i="13"/>
  <c r="E194" i="13"/>
  <c r="D194" i="13"/>
  <c r="C194" i="13"/>
  <c r="E193" i="13"/>
  <c r="D193" i="13"/>
  <c r="C193" i="13"/>
  <c r="E192" i="13"/>
  <c r="D192" i="13"/>
  <c r="C192" i="13"/>
  <c r="E191" i="13"/>
  <c r="D191" i="13"/>
  <c r="C191" i="13"/>
  <c r="E190" i="13"/>
  <c r="D190" i="13"/>
  <c r="C190" i="13"/>
  <c r="E189" i="13"/>
  <c r="D189" i="13"/>
  <c r="C189" i="13"/>
  <c r="E188" i="13"/>
  <c r="D188" i="13"/>
  <c r="C188" i="13"/>
  <c r="E187" i="13"/>
  <c r="D187" i="13"/>
  <c r="C187" i="13"/>
  <c r="E186" i="13"/>
  <c r="D186" i="13"/>
  <c r="C186" i="13"/>
  <c r="E185" i="13"/>
  <c r="D185" i="13"/>
  <c r="C185" i="13"/>
  <c r="E184" i="13"/>
  <c r="D184" i="13"/>
  <c r="C184" i="13"/>
  <c r="E183" i="13"/>
  <c r="D183" i="13"/>
  <c r="C183" i="13"/>
  <c r="E182" i="13"/>
  <c r="D182" i="13"/>
  <c r="C182" i="13"/>
  <c r="E181" i="13"/>
  <c r="D181" i="13"/>
  <c r="C181" i="13"/>
  <c r="E180" i="13"/>
  <c r="D180" i="13"/>
  <c r="C180" i="13"/>
  <c r="E179" i="13"/>
  <c r="D179" i="13"/>
  <c r="C179" i="13"/>
  <c r="E178" i="13"/>
  <c r="D178" i="13"/>
  <c r="C178" i="13"/>
  <c r="E177" i="13"/>
  <c r="D177" i="13"/>
  <c r="C177" i="13"/>
  <c r="E176" i="13"/>
  <c r="D176" i="13"/>
  <c r="C176" i="13"/>
  <c r="C204" i="13" s="1"/>
  <c r="E175" i="13"/>
  <c r="D175" i="13"/>
  <c r="C175" i="13"/>
  <c r="E174" i="13"/>
  <c r="D174" i="13"/>
  <c r="C174" i="13"/>
  <c r="E173" i="13"/>
  <c r="E204" i="13" s="1"/>
  <c r="D173" i="13"/>
  <c r="C173" i="13"/>
  <c r="E167" i="13"/>
  <c r="D167" i="13"/>
  <c r="C167" i="13"/>
  <c r="E166" i="13"/>
  <c r="D166" i="13"/>
  <c r="C166" i="13"/>
  <c r="E165" i="13"/>
  <c r="D165" i="13"/>
  <c r="C165" i="13"/>
  <c r="E164" i="13"/>
  <c r="D164" i="13"/>
  <c r="C164" i="13"/>
  <c r="E163" i="13"/>
  <c r="D163" i="13"/>
  <c r="C163" i="13"/>
  <c r="E162" i="13"/>
  <c r="D162" i="13"/>
  <c r="C162" i="13"/>
  <c r="E161" i="13"/>
  <c r="E168" i="13" s="1"/>
  <c r="D161" i="13"/>
  <c r="C161" i="13"/>
  <c r="E160" i="13"/>
  <c r="D160" i="13"/>
  <c r="C160" i="13"/>
  <c r="C168" i="13" s="1"/>
  <c r="E155" i="13"/>
  <c r="E154" i="13"/>
  <c r="D154" i="13"/>
  <c r="C154" i="13"/>
  <c r="E153" i="13"/>
  <c r="D153" i="13"/>
  <c r="C153" i="13"/>
  <c r="C155" i="13" s="1"/>
  <c r="E146" i="13"/>
  <c r="D146" i="13"/>
  <c r="C146" i="13"/>
  <c r="E145" i="13"/>
  <c r="D145" i="13"/>
  <c r="C145" i="13"/>
  <c r="E144" i="13"/>
  <c r="D144" i="13"/>
  <c r="C144" i="13"/>
  <c r="E143" i="13"/>
  <c r="D143" i="13"/>
  <c r="C143" i="13"/>
  <c r="E142" i="13"/>
  <c r="E147" i="13" s="1"/>
  <c r="D142" i="13"/>
  <c r="C142" i="13"/>
  <c r="C147" i="13" s="1"/>
  <c r="E141" i="13"/>
  <c r="D141" i="13"/>
  <c r="C141" i="13"/>
  <c r="E138" i="13"/>
  <c r="D138" i="13"/>
  <c r="C138" i="13"/>
  <c r="E137" i="13"/>
  <c r="D137" i="13"/>
  <c r="C137" i="13"/>
  <c r="E136" i="13"/>
  <c r="D136" i="13"/>
  <c r="C136" i="13"/>
  <c r="E135" i="13"/>
  <c r="D135" i="13"/>
  <c r="C135" i="13"/>
  <c r="E134" i="13"/>
  <c r="D134" i="13"/>
  <c r="C134" i="13"/>
  <c r="E133" i="13"/>
  <c r="D133" i="13"/>
  <c r="C133" i="13"/>
  <c r="E132" i="13"/>
  <c r="D132" i="13"/>
  <c r="C132" i="13"/>
  <c r="E131" i="13"/>
  <c r="D131" i="13"/>
  <c r="C131" i="13"/>
  <c r="E130" i="13"/>
  <c r="D130" i="13"/>
  <c r="C130" i="13"/>
  <c r="E129" i="13"/>
  <c r="D129" i="13"/>
  <c r="C129" i="13"/>
  <c r="E128" i="13"/>
  <c r="D128" i="13"/>
  <c r="C128" i="13"/>
  <c r="E127" i="13"/>
  <c r="D127" i="13"/>
  <c r="C127" i="13"/>
  <c r="E126" i="13"/>
  <c r="E139" i="13" s="1"/>
  <c r="D126" i="13"/>
  <c r="C126" i="13"/>
  <c r="C139" i="13" s="1"/>
  <c r="C148" i="13" s="1"/>
  <c r="C121" i="13"/>
  <c r="E116" i="13"/>
  <c r="E115" i="13"/>
  <c r="D115" i="13"/>
  <c r="C115" i="13"/>
  <c r="E114" i="13"/>
  <c r="D114" i="13"/>
  <c r="C114" i="13"/>
  <c r="C116" i="13" s="1"/>
  <c r="F108" i="13"/>
  <c r="E108" i="13"/>
  <c r="D108" i="13"/>
  <c r="C108" i="13"/>
  <c r="F107" i="13"/>
  <c r="F109" i="13" s="1"/>
  <c r="E107" i="13"/>
  <c r="E109" i="13" s="1"/>
  <c r="D107" i="13"/>
  <c r="C107" i="13"/>
  <c r="F106" i="13"/>
  <c r="E106" i="13"/>
  <c r="D106" i="13"/>
  <c r="C106" i="13"/>
  <c r="F105" i="13"/>
  <c r="E105" i="13"/>
  <c r="D105" i="13"/>
  <c r="C105" i="13"/>
  <c r="F104" i="13"/>
  <c r="E104" i="13"/>
  <c r="D104" i="13"/>
  <c r="C104" i="13"/>
  <c r="F103" i="13"/>
  <c r="E103" i="13"/>
  <c r="D103" i="13"/>
  <c r="D109" i="13" s="1"/>
  <c r="C103" i="13"/>
  <c r="C109" i="13" s="1"/>
  <c r="F102" i="13"/>
  <c r="E102" i="13"/>
  <c r="D102" i="13"/>
  <c r="C102" i="13"/>
  <c r="F101" i="13"/>
  <c r="E101" i="13"/>
  <c r="D101" i="13"/>
  <c r="C101" i="13"/>
  <c r="F100" i="13"/>
  <c r="E100" i="13"/>
  <c r="D100" i="13"/>
  <c r="C100" i="13"/>
  <c r="F99" i="13"/>
  <c r="E99" i="13"/>
  <c r="D99" i="13"/>
  <c r="C99" i="13"/>
  <c r="F98" i="13"/>
  <c r="E98" i="13"/>
  <c r="D98" i="13"/>
  <c r="C98" i="13"/>
  <c r="F97" i="13"/>
  <c r="E97" i="13"/>
  <c r="D97" i="13"/>
  <c r="C97" i="13"/>
  <c r="F96" i="13"/>
  <c r="E96" i="13"/>
  <c r="D96" i="13"/>
  <c r="C96" i="13"/>
  <c r="F95" i="13"/>
  <c r="E95" i="13"/>
  <c r="D95" i="13"/>
  <c r="C95" i="13"/>
  <c r="F94" i="13"/>
  <c r="E94" i="13"/>
  <c r="D94" i="13"/>
  <c r="C94" i="13"/>
  <c r="F93" i="13"/>
  <c r="E93" i="13"/>
  <c r="D93" i="13"/>
  <c r="C93" i="13"/>
  <c r="F92" i="13"/>
  <c r="E92" i="13"/>
  <c r="D92" i="13"/>
  <c r="C92" i="13"/>
  <c r="F91" i="13"/>
  <c r="E91" i="13"/>
  <c r="D91" i="13"/>
  <c r="C91" i="13"/>
  <c r="F90" i="13"/>
  <c r="E90" i="13"/>
  <c r="D90" i="13"/>
  <c r="C90" i="13"/>
  <c r="E83" i="13"/>
  <c r="C83" i="13"/>
  <c r="E82" i="13"/>
  <c r="E84" i="13" s="1"/>
  <c r="C82" i="13"/>
  <c r="E81" i="13"/>
  <c r="C81" i="13"/>
  <c r="C84" i="13" s="1"/>
  <c r="E75" i="13"/>
  <c r="C75" i="13"/>
  <c r="E74" i="13"/>
  <c r="C74" i="13"/>
  <c r="E73" i="13"/>
  <c r="C73" i="13"/>
  <c r="E72" i="13"/>
  <c r="C72" i="13"/>
  <c r="E71" i="13"/>
  <c r="C71" i="13"/>
  <c r="E70" i="13"/>
  <c r="C70" i="13"/>
  <c r="E69" i="13"/>
  <c r="C69" i="13"/>
  <c r="E68" i="13"/>
  <c r="C68" i="13"/>
  <c r="E67" i="13"/>
  <c r="C67" i="13"/>
  <c r="E66" i="13"/>
  <c r="C66" i="13"/>
  <c r="E65" i="13"/>
  <c r="C65" i="13"/>
  <c r="E64" i="13"/>
  <c r="C64" i="13"/>
  <c r="E63" i="13"/>
  <c r="C63" i="13"/>
  <c r="E62" i="13"/>
  <c r="E61" i="13" s="1"/>
  <c r="C62" i="13"/>
  <c r="C61" i="13"/>
  <c r="E60" i="13"/>
  <c r="C60" i="13"/>
  <c r="E59" i="13"/>
  <c r="C59" i="13"/>
  <c r="E58" i="13"/>
  <c r="C58" i="13"/>
  <c r="E57" i="13"/>
  <c r="C57" i="13"/>
  <c r="E56" i="13"/>
  <c r="C56" i="13"/>
  <c r="C55" i="13"/>
  <c r="C76" i="13" s="1"/>
  <c r="E49" i="13"/>
  <c r="D49" i="13"/>
  <c r="C49" i="13"/>
  <c r="E48" i="13"/>
  <c r="D48" i="13"/>
  <c r="C48" i="13"/>
  <c r="E47" i="13"/>
  <c r="D47" i="13"/>
  <c r="C47" i="13"/>
  <c r="E45" i="13"/>
  <c r="D45" i="13"/>
  <c r="C45" i="13"/>
  <c r="E44" i="13"/>
  <c r="D44" i="13"/>
  <c r="C44" i="13"/>
  <c r="E43" i="13"/>
  <c r="D43" i="13"/>
  <c r="C43" i="13"/>
  <c r="E42" i="13"/>
  <c r="D42" i="13"/>
  <c r="C42" i="13"/>
  <c r="E40" i="13"/>
  <c r="D40" i="13"/>
  <c r="C40" i="13"/>
  <c r="E39" i="13"/>
  <c r="D39" i="13"/>
  <c r="C39" i="13"/>
  <c r="E37" i="13"/>
  <c r="D37" i="13"/>
  <c r="C37" i="13"/>
  <c r="E36" i="13"/>
  <c r="D36" i="13"/>
  <c r="C36" i="13"/>
  <c r="E35" i="13"/>
  <c r="D35" i="13"/>
  <c r="C35" i="13"/>
  <c r="E34" i="13"/>
  <c r="D34" i="13"/>
  <c r="C34" i="13"/>
  <c r="E33" i="13"/>
  <c r="D33" i="13"/>
  <c r="C33" i="13"/>
  <c r="E32" i="13"/>
  <c r="D32" i="13"/>
  <c r="C32" i="13"/>
  <c r="E31" i="13"/>
  <c r="D31" i="13"/>
  <c r="C31" i="13"/>
  <c r="E30" i="13"/>
  <c r="D30" i="13"/>
  <c r="C30" i="13"/>
  <c r="E29" i="13"/>
  <c r="D29" i="13"/>
  <c r="C29" i="13"/>
  <c r="E28" i="13"/>
  <c r="D28" i="13"/>
  <c r="C28" i="13"/>
  <c r="E26" i="13"/>
  <c r="D26" i="13"/>
  <c r="C26" i="13"/>
  <c r="E25" i="13"/>
  <c r="D25" i="13"/>
  <c r="C25" i="13"/>
  <c r="E24" i="13"/>
  <c r="D24" i="13"/>
  <c r="C24" i="13"/>
  <c r="E23" i="13"/>
  <c r="D23" i="13"/>
  <c r="C23" i="13"/>
  <c r="E22" i="13"/>
  <c r="D22" i="13"/>
  <c r="C22" i="13"/>
  <c r="E21" i="13"/>
  <c r="D21" i="13"/>
  <c r="C21" i="13"/>
  <c r="E20" i="13"/>
  <c r="D20" i="13"/>
  <c r="C20" i="13"/>
  <c r="E19" i="13"/>
  <c r="D19" i="13"/>
  <c r="C19" i="13"/>
  <c r="E18" i="13"/>
  <c r="D18" i="13"/>
  <c r="C18" i="13"/>
  <c r="E17" i="13"/>
  <c r="D17" i="13"/>
  <c r="C17" i="13"/>
  <c r="E16" i="13"/>
  <c r="D16" i="13"/>
  <c r="C16" i="13"/>
  <c r="E15" i="13"/>
  <c r="E50" i="13" s="1"/>
  <c r="D15" i="13"/>
  <c r="C15" i="13"/>
  <c r="E14" i="13"/>
  <c r="D14" i="13"/>
  <c r="C14" i="13"/>
  <c r="C50" i="13" s="1"/>
  <c r="C8" i="13"/>
  <c r="C6" i="13"/>
  <c r="A5" i="13"/>
  <c r="C4" i="13"/>
  <c r="A4" i="13"/>
  <c r="A3" i="13"/>
  <c r="A2" i="13"/>
  <c r="E345" i="12"/>
  <c r="E344" i="12"/>
  <c r="E336" i="12"/>
  <c r="E335" i="12"/>
  <c r="C322" i="12"/>
  <c r="C330" i="12" s="1"/>
  <c r="E302" i="12"/>
  <c r="D302" i="12"/>
  <c r="C302" i="12"/>
  <c r="E301" i="12"/>
  <c r="D301" i="12"/>
  <c r="C301" i="12"/>
  <c r="E300" i="12"/>
  <c r="D300" i="12"/>
  <c r="C300" i="12"/>
  <c r="E299" i="12"/>
  <c r="D299" i="12"/>
  <c r="C299" i="12"/>
  <c r="E298" i="12"/>
  <c r="D298" i="12"/>
  <c r="C298" i="12"/>
  <c r="E297" i="12"/>
  <c r="D297" i="12"/>
  <c r="C297" i="12"/>
  <c r="E296" i="12"/>
  <c r="E303" i="12" s="1"/>
  <c r="D296" i="12"/>
  <c r="C296" i="12"/>
  <c r="E290" i="12"/>
  <c r="D290" i="12"/>
  <c r="C290" i="12"/>
  <c r="E289" i="12"/>
  <c r="D289" i="12"/>
  <c r="C289" i="12"/>
  <c r="E288" i="12"/>
  <c r="D288" i="12"/>
  <c r="C288" i="12"/>
  <c r="E287" i="12"/>
  <c r="E291" i="12" s="1"/>
  <c r="D287" i="12"/>
  <c r="C287" i="12"/>
  <c r="C291" i="12" s="1"/>
  <c r="E286" i="12"/>
  <c r="D286" i="12"/>
  <c r="C286" i="12"/>
  <c r="E280" i="12"/>
  <c r="D280" i="12"/>
  <c r="C280" i="12"/>
  <c r="E279" i="12"/>
  <c r="D279" i="12"/>
  <c r="C279" i="12"/>
  <c r="E278" i="12"/>
  <c r="D278" i="12"/>
  <c r="C278" i="12"/>
  <c r="E277" i="12"/>
  <c r="D277" i="12"/>
  <c r="C277" i="12"/>
  <c r="E276" i="12"/>
  <c r="D276" i="12"/>
  <c r="C276" i="12"/>
  <c r="E275" i="12"/>
  <c r="D275" i="12"/>
  <c r="C275" i="12"/>
  <c r="E273" i="12"/>
  <c r="D273" i="12"/>
  <c r="C273" i="12"/>
  <c r="E272" i="12"/>
  <c r="D272" i="12"/>
  <c r="C272" i="12"/>
  <c r="E271" i="12"/>
  <c r="D271" i="12"/>
  <c r="C271" i="12"/>
  <c r="E270" i="12"/>
  <c r="D270" i="12"/>
  <c r="C270" i="12"/>
  <c r="E269" i="12"/>
  <c r="D269" i="12"/>
  <c r="C269" i="12"/>
  <c r="E268" i="12"/>
  <c r="D268" i="12"/>
  <c r="C268" i="12"/>
  <c r="E267" i="12"/>
  <c r="D267" i="12"/>
  <c r="C267" i="12"/>
  <c r="E266" i="12"/>
  <c r="D266" i="12"/>
  <c r="C266" i="12"/>
  <c r="E265" i="12"/>
  <c r="D265" i="12"/>
  <c r="C265" i="12"/>
  <c r="E264" i="12"/>
  <c r="D264" i="12"/>
  <c r="C264" i="12"/>
  <c r="E263" i="12"/>
  <c r="D263" i="12"/>
  <c r="C263" i="12"/>
  <c r="E262" i="12"/>
  <c r="D262" i="12"/>
  <c r="C262" i="12"/>
  <c r="E261" i="12"/>
  <c r="D261" i="12"/>
  <c r="C261" i="12"/>
  <c r="E260" i="12"/>
  <c r="D260" i="12"/>
  <c r="C260" i="12"/>
  <c r="E259" i="12"/>
  <c r="D259" i="12"/>
  <c r="C259" i="12"/>
  <c r="E258" i="12"/>
  <c r="D258" i="12"/>
  <c r="C258" i="12"/>
  <c r="E257" i="12"/>
  <c r="D257" i="12"/>
  <c r="C257" i="12"/>
  <c r="E256" i="12"/>
  <c r="D256" i="12"/>
  <c r="C256" i="12"/>
  <c r="E254" i="12"/>
  <c r="D254" i="12"/>
  <c r="C254" i="12"/>
  <c r="E253" i="12"/>
  <c r="D253" i="12"/>
  <c r="C253" i="12"/>
  <c r="E252" i="12"/>
  <c r="D252" i="12"/>
  <c r="C252" i="12"/>
  <c r="E251" i="12"/>
  <c r="D251" i="12"/>
  <c r="C251" i="12"/>
  <c r="E250" i="12"/>
  <c r="D250" i="12"/>
  <c r="C250" i="12"/>
  <c r="E249" i="12"/>
  <c r="D249" i="12"/>
  <c r="C249" i="12"/>
  <c r="E248" i="12"/>
  <c r="D248" i="12"/>
  <c r="C248" i="12"/>
  <c r="E247" i="12"/>
  <c r="D247" i="12"/>
  <c r="C247" i="12"/>
  <c r="E246" i="12"/>
  <c r="D246" i="12"/>
  <c r="C246" i="12"/>
  <c r="E245" i="12"/>
  <c r="D245" i="12"/>
  <c r="C245" i="12"/>
  <c r="E244" i="12"/>
  <c r="D244" i="12"/>
  <c r="C244" i="12"/>
  <c r="E243" i="12"/>
  <c r="D243" i="12"/>
  <c r="C243" i="12"/>
  <c r="E242" i="12"/>
  <c r="E281" i="12" s="1"/>
  <c r="D242" i="12"/>
  <c r="C242" i="12"/>
  <c r="E241" i="12"/>
  <c r="D241" i="12"/>
  <c r="C241" i="12"/>
  <c r="C281" i="12" s="1"/>
  <c r="E237" i="12"/>
  <c r="C237" i="12"/>
  <c r="E231" i="12"/>
  <c r="E232" i="12" s="1"/>
  <c r="D231" i="12"/>
  <c r="C231" i="12"/>
  <c r="C232" i="12" s="1"/>
  <c r="E230" i="12"/>
  <c r="D230" i="12"/>
  <c r="C230" i="12"/>
  <c r="C225" i="12"/>
  <c r="E217" i="12"/>
  <c r="D217" i="12"/>
  <c r="C217" i="12"/>
  <c r="E216" i="12"/>
  <c r="C216" i="12"/>
  <c r="E215" i="12"/>
  <c r="D215" i="12"/>
  <c r="C215" i="12"/>
  <c r="E214" i="12"/>
  <c r="D214" i="12"/>
  <c r="C214" i="12"/>
  <c r="E213" i="12"/>
  <c r="D213" i="12"/>
  <c r="C213" i="12"/>
  <c r="E212" i="12"/>
  <c r="D212" i="12"/>
  <c r="C212" i="12"/>
  <c r="E211" i="12"/>
  <c r="D211" i="12"/>
  <c r="C211" i="12"/>
  <c r="E210" i="12"/>
  <c r="D210" i="12"/>
  <c r="C210" i="12"/>
  <c r="E209" i="12"/>
  <c r="E218" i="12" s="1"/>
  <c r="D209" i="12"/>
  <c r="C209" i="12"/>
  <c r="C218" i="12" s="1"/>
  <c r="E203" i="12"/>
  <c r="D203" i="12"/>
  <c r="C203" i="12"/>
  <c r="E202" i="12"/>
  <c r="D202" i="12"/>
  <c r="C202" i="12"/>
  <c r="E201" i="12"/>
  <c r="D201" i="12"/>
  <c r="C201" i="12"/>
  <c r="E200" i="12"/>
  <c r="D200" i="12"/>
  <c r="C200" i="12"/>
  <c r="E199" i="12"/>
  <c r="D199" i="12"/>
  <c r="C199" i="12"/>
  <c r="E198" i="12"/>
  <c r="D198" i="12"/>
  <c r="C198" i="12"/>
  <c r="E197" i="12"/>
  <c r="D197" i="12"/>
  <c r="C197" i="12"/>
  <c r="E196" i="12"/>
  <c r="D196" i="12"/>
  <c r="C196" i="12"/>
  <c r="E195" i="12"/>
  <c r="D195" i="12"/>
  <c r="C195" i="12"/>
  <c r="E194" i="12"/>
  <c r="D194" i="12"/>
  <c r="C194" i="12"/>
  <c r="E193" i="12"/>
  <c r="D193" i="12"/>
  <c r="C193" i="12"/>
  <c r="E192" i="12"/>
  <c r="D192" i="12"/>
  <c r="C192" i="12"/>
  <c r="E191" i="12"/>
  <c r="D191" i="12"/>
  <c r="C191" i="12"/>
  <c r="E190" i="12"/>
  <c r="D190" i="12"/>
  <c r="C190" i="12"/>
  <c r="E189" i="12"/>
  <c r="D189" i="12"/>
  <c r="C189" i="12"/>
  <c r="E188" i="12"/>
  <c r="D188" i="12"/>
  <c r="C188" i="12"/>
  <c r="E187" i="12"/>
  <c r="D187" i="12"/>
  <c r="C187" i="12"/>
  <c r="E186" i="12"/>
  <c r="D186" i="12"/>
  <c r="C186" i="12"/>
  <c r="E185" i="12"/>
  <c r="D185" i="12"/>
  <c r="C185" i="12"/>
  <c r="E184" i="12"/>
  <c r="D184" i="12"/>
  <c r="C184" i="12"/>
  <c r="E183" i="12"/>
  <c r="D183" i="12"/>
  <c r="C183" i="12"/>
  <c r="E182" i="12"/>
  <c r="D182" i="12"/>
  <c r="C182" i="12"/>
  <c r="E181" i="12"/>
  <c r="D181" i="12"/>
  <c r="C181" i="12"/>
  <c r="E180" i="12"/>
  <c r="D180" i="12"/>
  <c r="C180" i="12"/>
  <c r="E179" i="12"/>
  <c r="D179" i="12"/>
  <c r="C179" i="12"/>
  <c r="E178" i="12"/>
  <c r="D178" i="12"/>
  <c r="C178" i="12"/>
  <c r="E177" i="12"/>
  <c r="D177" i="12"/>
  <c r="C177" i="12"/>
  <c r="E176" i="12"/>
  <c r="D176" i="12"/>
  <c r="C176" i="12"/>
  <c r="E175" i="12"/>
  <c r="D175" i="12"/>
  <c r="C175" i="12"/>
  <c r="E174" i="12"/>
  <c r="D174" i="12"/>
  <c r="C174" i="12"/>
  <c r="C204" i="12" s="1"/>
  <c r="E173" i="12"/>
  <c r="E204" i="12" s="1"/>
  <c r="D173" i="12"/>
  <c r="C173" i="12"/>
  <c r="E167" i="12"/>
  <c r="D167" i="12"/>
  <c r="C167" i="12"/>
  <c r="E166" i="12"/>
  <c r="D166" i="12"/>
  <c r="C166" i="12"/>
  <c r="E165" i="12"/>
  <c r="D165" i="12"/>
  <c r="C165" i="12"/>
  <c r="E164" i="12"/>
  <c r="D164" i="12"/>
  <c r="C164" i="12"/>
  <c r="E163" i="12"/>
  <c r="D163" i="12"/>
  <c r="C163" i="12"/>
  <c r="E162" i="12"/>
  <c r="D162" i="12"/>
  <c r="C162" i="12"/>
  <c r="E161" i="12"/>
  <c r="E168" i="12" s="1"/>
  <c r="D161" i="12"/>
  <c r="C161" i="12"/>
  <c r="E160" i="12"/>
  <c r="D160" i="12"/>
  <c r="C160" i="12"/>
  <c r="C168" i="12" s="1"/>
  <c r="E154" i="12"/>
  <c r="E155" i="12" s="1"/>
  <c r="D154" i="12"/>
  <c r="C154" i="12"/>
  <c r="E153" i="12"/>
  <c r="D153" i="12"/>
  <c r="C153" i="12"/>
  <c r="C155" i="12" s="1"/>
  <c r="E146" i="12"/>
  <c r="D146" i="12"/>
  <c r="C146" i="12"/>
  <c r="E145" i="12"/>
  <c r="D145" i="12"/>
  <c r="C145" i="12"/>
  <c r="E144" i="12"/>
  <c r="D144" i="12"/>
  <c r="C144" i="12"/>
  <c r="E143" i="12"/>
  <c r="D143" i="12"/>
  <c r="C143" i="12"/>
  <c r="E142" i="12"/>
  <c r="E147" i="12" s="1"/>
  <c r="D142" i="12"/>
  <c r="C142" i="12"/>
  <c r="E141" i="12"/>
  <c r="D141" i="12"/>
  <c r="C141" i="12"/>
  <c r="C147" i="12" s="1"/>
  <c r="E138" i="12"/>
  <c r="D138" i="12"/>
  <c r="C138" i="12"/>
  <c r="E137" i="12"/>
  <c r="D137" i="12"/>
  <c r="C137" i="12"/>
  <c r="E136" i="12"/>
  <c r="D136" i="12"/>
  <c r="C136" i="12"/>
  <c r="E135" i="12"/>
  <c r="D135" i="12"/>
  <c r="C135" i="12"/>
  <c r="E134" i="12"/>
  <c r="D134" i="12"/>
  <c r="C134" i="12"/>
  <c r="E133" i="12"/>
  <c r="D133" i="12"/>
  <c r="C133" i="12"/>
  <c r="E132" i="12"/>
  <c r="D132" i="12"/>
  <c r="C132" i="12"/>
  <c r="E131" i="12"/>
  <c r="D131" i="12"/>
  <c r="C131" i="12"/>
  <c r="E130" i="12"/>
  <c r="D130" i="12"/>
  <c r="C130" i="12"/>
  <c r="E129" i="12"/>
  <c r="D129" i="12"/>
  <c r="C129" i="12"/>
  <c r="E128" i="12"/>
  <c r="D128" i="12"/>
  <c r="C128" i="12"/>
  <c r="E127" i="12"/>
  <c r="D127" i="12"/>
  <c r="C127" i="12"/>
  <c r="E126" i="12"/>
  <c r="E139" i="12" s="1"/>
  <c r="E148" i="12" s="1"/>
  <c r="D126" i="12"/>
  <c r="C126" i="12"/>
  <c r="C139" i="12" s="1"/>
  <c r="C148" i="12" s="1"/>
  <c r="C121" i="12"/>
  <c r="E116" i="12"/>
  <c r="E115" i="12"/>
  <c r="D115" i="12"/>
  <c r="C115" i="12"/>
  <c r="E114" i="12"/>
  <c r="D114" i="12"/>
  <c r="C114" i="12"/>
  <c r="C116" i="12" s="1"/>
  <c r="F108" i="12"/>
  <c r="E108" i="12"/>
  <c r="D108" i="12"/>
  <c r="C108" i="12"/>
  <c r="F107" i="12"/>
  <c r="F109" i="12" s="1"/>
  <c r="E107" i="12"/>
  <c r="E109" i="12" s="1"/>
  <c r="D107" i="12"/>
  <c r="C107" i="12"/>
  <c r="F106" i="12"/>
  <c r="E106" i="12"/>
  <c r="D106" i="12"/>
  <c r="C106" i="12"/>
  <c r="F105" i="12"/>
  <c r="E105" i="12"/>
  <c r="D105" i="12"/>
  <c r="C105" i="12"/>
  <c r="F104" i="12"/>
  <c r="E104" i="12"/>
  <c r="D104" i="12"/>
  <c r="C104" i="12"/>
  <c r="F103" i="12"/>
  <c r="E103" i="12"/>
  <c r="D103" i="12"/>
  <c r="D109" i="12" s="1"/>
  <c r="C103" i="12"/>
  <c r="C109" i="12" s="1"/>
  <c r="F102" i="12"/>
  <c r="E102" i="12"/>
  <c r="D102" i="12"/>
  <c r="C102" i="12"/>
  <c r="F101" i="12"/>
  <c r="E101" i="12"/>
  <c r="D101" i="12"/>
  <c r="C101" i="12"/>
  <c r="F100" i="12"/>
  <c r="E100" i="12"/>
  <c r="D100" i="12"/>
  <c r="C100" i="12"/>
  <c r="F99" i="12"/>
  <c r="E99" i="12"/>
  <c r="D99" i="12"/>
  <c r="C99" i="12"/>
  <c r="F98" i="12"/>
  <c r="E98" i="12"/>
  <c r="D98" i="12"/>
  <c r="C98" i="12"/>
  <c r="F97" i="12"/>
  <c r="E97" i="12"/>
  <c r="D97" i="12"/>
  <c r="C97" i="12"/>
  <c r="F96" i="12"/>
  <c r="E96" i="12"/>
  <c r="D96" i="12"/>
  <c r="C96" i="12"/>
  <c r="F95" i="12"/>
  <c r="E95" i="12"/>
  <c r="D95" i="12"/>
  <c r="C95" i="12"/>
  <c r="F94" i="12"/>
  <c r="E94" i="12"/>
  <c r="D94" i="12"/>
  <c r="C94" i="12"/>
  <c r="F93" i="12"/>
  <c r="E93" i="12"/>
  <c r="D93" i="12"/>
  <c r="C93" i="12"/>
  <c r="F92" i="12"/>
  <c r="E92" i="12"/>
  <c r="D92" i="12"/>
  <c r="C92" i="12"/>
  <c r="F91" i="12"/>
  <c r="E91" i="12"/>
  <c r="D91" i="12"/>
  <c r="C91" i="12"/>
  <c r="F90" i="12"/>
  <c r="E90" i="12"/>
  <c r="D90" i="12"/>
  <c r="C90" i="12"/>
  <c r="E83" i="12"/>
  <c r="C83" i="12"/>
  <c r="E82" i="12"/>
  <c r="E84" i="12" s="1"/>
  <c r="C82" i="12"/>
  <c r="E81" i="12"/>
  <c r="C81" i="12"/>
  <c r="C84" i="12" s="1"/>
  <c r="E75" i="12"/>
  <c r="C75" i="12"/>
  <c r="E74" i="12"/>
  <c r="C74" i="12"/>
  <c r="E73" i="12"/>
  <c r="C73" i="12"/>
  <c r="E72" i="12"/>
  <c r="C72" i="12"/>
  <c r="E71" i="12"/>
  <c r="C71" i="12"/>
  <c r="E70" i="12"/>
  <c r="C70" i="12"/>
  <c r="E69" i="12"/>
  <c r="C69" i="12"/>
  <c r="E68" i="12"/>
  <c r="C68" i="12"/>
  <c r="E67" i="12"/>
  <c r="C67" i="12"/>
  <c r="E66" i="12"/>
  <c r="C66" i="12"/>
  <c r="E65" i="12"/>
  <c r="C65" i="12"/>
  <c r="E64" i="12"/>
  <c r="C64" i="12"/>
  <c r="E63" i="12"/>
  <c r="C63" i="12"/>
  <c r="E62" i="12"/>
  <c r="E61" i="12" s="1"/>
  <c r="C62" i="12"/>
  <c r="C61" i="12"/>
  <c r="E60" i="12"/>
  <c r="C60" i="12"/>
  <c r="E59" i="12"/>
  <c r="C59" i="12"/>
  <c r="E58" i="12"/>
  <c r="C58" i="12"/>
  <c r="E57" i="12"/>
  <c r="C57" i="12"/>
  <c r="E56" i="12"/>
  <c r="E55" i="12" s="1"/>
  <c r="E76" i="12" s="1"/>
  <c r="C56" i="12"/>
  <c r="C55" i="12"/>
  <c r="C76" i="12" s="1"/>
  <c r="E49" i="12"/>
  <c r="D49" i="12"/>
  <c r="C49" i="12"/>
  <c r="E48" i="12"/>
  <c r="D48" i="12"/>
  <c r="C48" i="12"/>
  <c r="E47" i="12"/>
  <c r="D47" i="12"/>
  <c r="C47" i="12"/>
  <c r="E45" i="12"/>
  <c r="D45" i="12"/>
  <c r="C45" i="12"/>
  <c r="E44" i="12"/>
  <c r="D44" i="12"/>
  <c r="C44" i="12"/>
  <c r="E43" i="12"/>
  <c r="D43" i="12"/>
  <c r="C43" i="12"/>
  <c r="E42" i="12"/>
  <c r="D42" i="12"/>
  <c r="C42" i="12"/>
  <c r="E40" i="12"/>
  <c r="D40" i="12"/>
  <c r="C40" i="12"/>
  <c r="E39" i="12"/>
  <c r="D39" i="12"/>
  <c r="C39" i="12"/>
  <c r="E37" i="12"/>
  <c r="D37" i="12"/>
  <c r="C37" i="12"/>
  <c r="E36" i="12"/>
  <c r="D36" i="12"/>
  <c r="C36" i="12"/>
  <c r="E35" i="12"/>
  <c r="D35" i="12"/>
  <c r="C35" i="12"/>
  <c r="E34" i="12"/>
  <c r="D34" i="12"/>
  <c r="C34" i="12"/>
  <c r="E33" i="12"/>
  <c r="D33" i="12"/>
  <c r="C33" i="12"/>
  <c r="E32" i="12"/>
  <c r="D32" i="12"/>
  <c r="C32" i="12"/>
  <c r="E31" i="12"/>
  <c r="D31" i="12"/>
  <c r="C31" i="12"/>
  <c r="E30" i="12"/>
  <c r="D30" i="12"/>
  <c r="C30" i="12"/>
  <c r="E29" i="12"/>
  <c r="D29" i="12"/>
  <c r="C29" i="12"/>
  <c r="E28" i="12"/>
  <c r="D28" i="12"/>
  <c r="C28" i="12"/>
  <c r="E26" i="12"/>
  <c r="D26" i="12"/>
  <c r="C26" i="12"/>
  <c r="E25" i="12"/>
  <c r="D25" i="12"/>
  <c r="C25" i="12"/>
  <c r="E24" i="12"/>
  <c r="D24" i="12"/>
  <c r="C24" i="12"/>
  <c r="E23" i="12"/>
  <c r="D23" i="12"/>
  <c r="C23" i="12"/>
  <c r="E22" i="12"/>
  <c r="D22" i="12"/>
  <c r="C22" i="12"/>
  <c r="E21" i="12"/>
  <c r="D21" i="12"/>
  <c r="C21" i="12"/>
  <c r="E20" i="12"/>
  <c r="D20" i="12"/>
  <c r="C20" i="12"/>
  <c r="E19" i="12"/>
  <c r="D19" i="12"/>
  <c r="C19" i="12"/>
  <c r="E18" i="12"/>
  <c r="D18" i="12"/>
  <c r="C18" i="12"/>
  <c r="E17" i="12"/>
  <c r="D17" i="12"/>
  <c r="C17" i="12"/>
  <c r="E16" i="12"/>
  <c r="D16" i="12"/>
  <c r="C16" i="12"/>
  <c r="E15" i="12"/>
  <c r="E50" i="12" s="1"/>
  <c r="D15" i="12"/>
  <c r="C15" i="12"/>
  <c r="E14" i="12"/>
  <c r="D14" i="12"/>
  <c r="C14" i="12"/>
  <c r="C50" i="12" s="1"/>
  <c r="C8" i="12"/>
  <c r="C6" i="12"/>
  <c r="A5" i="12"/>
  <c r="C4" i="12"/>
  <c r="A4" i="12"/>
  <c r="A3" i="12"/>
  <c r="A2" i="12"/>
  <c r="E55" i="13" l="1"/>
  <c r="E76" i="13" s="1"/>
  <c r="E312" i="13" s="1"/>
  <c r="E148" i="13"/>
  <c r="E307" i="12"/>
  <c r="E312" i="12" s="1"/>
  <c r="E345" i="11"/>
  <c r="E344" i="11"/>
  <c r="E336" i="11"/>
  <c r="E335" i="11"/>
  <c r="C330" i="11"/>
  <c r="C322" i="11"/>
  <c r="E302" i="11"/>
  <c r="D302" i="11"/>
  <c r="C302" i="11"/>
  <c r="E301" i="11"/>
  <c r="D301" i="11"/>
  <c r="C301" i="11"/>
  <c r="E300" i="11"/>
  <c r="D300" i="11"/>
  <c r="C300" i="11"/>
  <c r="E299" i="11"/>
  <c r="D299" i="11"/>
  <c r="C299" i="11"/>
  <c r="E298" i="11"/>
  <c r="D298" i="11"/>
  <c r="C298" i="11"/>
  <c r="E297" i="11"/>
  <c r="D297" i="11"/>
  <c r="C297" i="11"/>
  <c r="E296" i="11"/>
  <c r="D296" i="11"/>
  <c r="C296" i="11"/>
  <c r="E290" i="11"/>
  <c r="D290" i="11"/>
  <c r="C290" i="11"/>
  <c r="E289" i="11"/>
  <c r="D289" i="11"/>
  <c r="C289" i="11"/>
  <c r="E288" i="11"/>
  <c r="D288" i="11"/>
  <c r="C288" i="11"/>
  <c r="E287" i="11"/>
  <c r="D287" i="11"/>
  <c r="C287" i="11"/>
  <c r="E286" i="11"/>
  <c r="D286" i="11"/>
  <c r="C286" i="11"/>
  <c r="E280" i="11"/>
  <c r="D280" i="11"/>
  <c r="C280" i="11"/>
  <c r="E279" i="11"/>
  <c r="D279" i="11"/>
  <c r="C279" i="11"/>
  <c r="E278" i="11"/>
  <c r="D278" i="11"/>
  <c r="C278" i="11"/>
  <c r="E277" i="11"/>
  <c r="D277" i="11"/>
  <c r="C277" i="11"/>
  <c r="E276" i="11"/>
  <c r="D276" i="11"/>
  <c r="C276" i="11"/>
  <c r="E275" i="11"/>
  <c r="D275" i="11"/>
  <c r="C275" i="11"/>
  <c r="E273" i="11"/>
  <c r="D273" i="11"/>
  <c r="C273" i="11"/>
  <c r="E272" i="11"/>
  <c r="D272" i="11"/>
  <c r="C272" i="11"/>
  <c r="E271" i="11"/>
  <c r="D271" i="11"/>
  <c r="C271" i="11"/>
  <c r="E270" i="11"/>
  <c r="D270" i="11"/>
  <c r="C270" i="11"/>
  <c r="E269" i="11"/>
  <c r="D269" i="11"/>
  <c r="C269" i="11"/>
  <c r="E268" i="11"/>
  <c r="D268" i="11"/>
  <c r="C268" i="11"/>
  <c r="E267" i="11"/>
  <c r="D267" i="11"/>
  <c r="C267" i="11"/>
  <c r="E266" i="11"/>
  <c r="D266" i="11"/>
  <c r="C266" i="11"/>
  <c r="E265" i="11"/>
  <c r="D265" i="11"/>
  <c r="C265" i="11"/>
  <c r="E264" i="11"/>
  <c r="D264" i="11"/>
  <c r="C264" i="11"/>
  <c r="E263" i="11"/>
  <c r="D263" i="11"/>
  <c r="C263" i="11"/>
  <c r="E262" i="11"/>
  <c r="D262" i="11"/>
  <c r="C262" i="11"/>
  <c r="E261" i="11"/>
  <c r="D261" i="11"/>
  <c r="C261" i="11"/>
  <c r="E260" i="11"/>
  <c r="D260" i="11"/>
  <c r="C260" i="11"/>
  <c r="E259" i="11"/>
  <c r="D259" i="11"/>
  <c r="C259" i="11"/>
  <c r="E258" i="11"/>
  <c r="D258" i="11"/>
  <c r="C258" i="11"/>
  <c r="E257" i="11"/>
  <c r="D257" i="11"/>
  <c r="C257" i="11"/>
  <c r="E256" i="11"/>
  <c r="D256" i="11"/>
  <c r="C256" i="11"/>
  <c r="E254" i="11"/>
  <c r="D254" i="11"/>
  <c r="C254" i="11"/>
  <c r="E253" i="11"/>
  <c r="D253" i="11"/>
  <c r="C253" i="11"/>
  <c r="E252" i="11"/>
  <c r="D252" i="11"/>
  <c r="C252" i="11"/>
  <c r="E251" i="11"/>
  <c r="D251" i="11"/>
  <c r="C251" i="11"/>
  <c r="E250" i="11"/>
  <c r="D250" i="11"/>
  <c r="C250" i="11"/>
  <c r="E249" i="11"/>
  <c r="D249" i="11"/>
  <c r="C249" i="11"/>
  <c r="E248" i="11"/>
  <c r="D248" i="11"/>
  <c r="C248" i="11"/>
  <c r="E247" i="11"/>
  <c r="D247" i="11"/>
  <c r="C247" i="11"/>
  <c r="E246" i="11"/>
  <c r="D246" i="11"/>
  <c r="C246" i="11"/>
  <c r="E245" i="11"/>
  <c r="D245" i="11"/>
  <c r="C245" i="11"/>
  <c r="E244" i="11"/>
  <c r="D244" i="11"/>
  <c r="C244" i="11"/>
  <c r="E243" i="11"/>
  <c r="D243" i="11"/>
  <c r="C243" i="11"/>
  <c r="E242" i="11"/>
  <c r="D242" i="11"/>
  <c r="C242" i="11"/>
  <c r="E241" i="11"/>
  <c r="D241" i="11"/>
  <c r="C241" i="11"/>
  <c r="C281" i="11" s="1"/>
  <c r="E237" i="11"/>
  <c r="C237" i="11"/>
  <c r="C232" i="11"/>
  <c r="E231" i="11"/>
  <c r="D231" i="11"/>
  <c r="C231" i="11"/>
  <c r="E230" i="11"/>
  <c r="D230" i="11"/>
  <c r="C230" i="11"/>
  <c r="C225" i="11"/>
  <c r="E217" i="11"/>
  <c r="D217" i="11"/>
  <c r="C217" i="11"/>
  <c r="E216" i="11"/>
  <c r="C216" i="11"/>
  <c r="E215" i="11"/>
  <c r="D215" i="11"/>
  <c r="C215" i="11"/>
  <c r="E214" i="11"/>
  <c r="D214" i="11"/>
  <c r="C214" i="11"/>
  <c r="E213" i="11"/>
  <c r="D213" i="11"/>
  <c r="C213" i="11"/>
  <c r="E212" i="11"/>
  <c r="D212" i="11"/>
  <c r="C212" i="11"/>
  <c r="E211" i="11"/>
  <c r="D211" i="11"/>
  <c r="C211" i="11"/>
  <c r="E210" i="11"/>
  <c r="D210" i="11"/>
  <c r="C210" i="11"/>
  <c r="E209" i="11"/>
  <c r="D209" i="11"/>
  <c r="C209" i="11"/>
  <c r="E203" i="11"/>
  <c r="D203" i="11"/>
  <c r="C203" i="11"/>
  <c r="E202" i="11"/>
  <c r="D202" i="11"/>
  <c r="C202" i="11"/>
  <c r="E201" i="11"/>
  <c r="D201" i="11"/>
  <c r="C201" i="11"/>
  <c r="E200" i="11"/>
  <c r="D200" i="11"/>
  <c r="C200" i="11"/>
  <c r="E199" i="11"/>
  <c r="D199" i="11"/>
  <c r="C199" i="11"/>
  <c r="E198" i="11"/>
  <c r="D198" i="11"/>
  <c r="C198" i="11"/>
  <c r="E197" i="11"/>
  <c r="D197" i="11"/>
  <c r="C197" i="11"/>
  <c r="E196" i="11"/>
  <c r="D196" i="11"/>
  <c r="C196" i="11"/>
  <c r="E195" i="11"/>
  <c r="D195" i="11"/>
  <c r="C195" i="11"/>
  <c r="E194" i="11"/>
  <c r="D194" i="11"/>
  <c r="C194" i="11"/>
  <c r="E193" i="11"/>
  <c r="D193" i="11"/>
  <c r="C193" i="11"/>
  <c r="E192" i="11"/>
  <c r="D192" i="11"/>
  <c r="C192" i="11"/>
  <c r="E191" i="11"/>
  <c r="D191" i="11"/>
  <c r="C191" i="11"/>
  <c r="E190" i="11"/>
  <c r="D190" i="11"/>
  <c r="C190" i="11"/>
  <c r="E189" i="11"/>
  <c r="D189" i="11"/>
  <c r="C189" i="11"/>
  <c r="E188" i="11"/>
  <c r="D188" i="11"/>
  <c r="C188" i="11"/>
  <c r="E187" i="11"/>
  <c r="D187" i="11"/>
  <c r="C187" i="11"/>
  <c r="E186" i="11"/>
  <c r="D186" i="11"/>
  <c r="C186" i="11"/>
  <c r="E185" i="11"/>
  <c r="D185" i="11"/>
  <c r="C185" i="11"/>
  <c r="E184" i="11"/>
  <c r="D184" i="11"/>
  <c r="C184" i="11"/>
  <c r="E183" i="11"/>
  <c r="D183" i="11"/>
  <c r="C183" i="11"/>
  <c r="E182" i="11"/>
  <c r="D182" i="11"/>
  <c r="C182" i="11"/>
  <c r="E181" i="11"/>
  <c r="D181" i="11"/>
  <c r="C181" i="11"/>
  <c r="E180" i="11"/>
  <c r="D180" i="11"/>
  <c r="C180" i="11"/>
  <c r="E179" i="11"/>
  <c r="D179" i="11"/>
  <c r="C179" i="11"/>
  <c r="E178" i="11"/>
  <c r="D178" i="11"/>
  <c r="C178" i="11"/>
  <c r="E177" i="11"/>
  <c r="D177" i="11"/>
  <c r="C177" i="11"/>
  <c r="E176" i="11"/>
  <c r="D176" i="11"/>
  <c r="C176" i="11"/>
  <c r="C204" i="11" s="1"/>
  <c r="E175" i="11"/>
  <c r="D175" i="11"/>
  <c r="C175" i="11"/>
  <c r="E174" i="11"/>
  <c r="D174" i="11"/>
  <c r="C174" i="11"/>
  <c r="E173" i="11"/>
  <c r="D173" i="11"/>
  <c r="C173" i="11"/>
  <c r="E167" i="11"/>
  <c r="D167" i="11"/>
  <c r="C167" i="11"/>
  <c r="E166" i="11"/>
  <c r="D166" i="11"/>
  <c r="C166" i="11"/>
  <c r="E165" i="11"/>
  <c r="D165" i="11"/>
  <c r="C165" i="11"/>
  <c r="E164" i="11"/>
  <c r="D164" i="11"/>
  <c r="C164" i="11"/>
  <c r="E163" i="11"/>
  <c r="D163" i="11"/>
  <c r="C163" i="11"/>
  <c r="E162" i="11"/>
  <c r="D162" i="11"/>
  <c r="C162" i="11"/>
  <c r="E161" i="11"/>
  <c r="D161" i="11"/>
  <c r="C161" i="11"/>
  <c r="E160" i="11"/>
  <c r="D160" i="11"/>
  <c r="C160" i="11"/>
  <c r="E154" i="11"/>
  <c r="D154" i="11"/>
  <c r="C154" i="11"/>
  <c r="E153" i="11"/>
  <c r="E155" i="11" s="1"/>
  <c r="D153" i="11"/>
  <c r="C153" i="11"/>
  <c r="C155" i="11" s="1"/>
  <c r="E146" i="11"/>
  <c r="D146" i="11"/>
  <c r="C146" i="11"/>
  <c r="E145" i="11"/>
  <c r="D145" i="11"/>
  <c r="C145" i="11"/>
  <c r="E144" i="11"/>
  <c r="D144" i="11"/>
  <c r="C144" i="11"/>
  <c r="E143" i="11"/>
  <c r="D143" i="11"/>
  <c r="C143" i="11"/>
  <c r="C147" i="11" s="1"/>
  <c r="E142" i="11"/>
  <c r="D142" i="11"/>
  <c r="C142" i="11"/>
  <c r="E141" i="11"/>
  <c r="E147" i="11" s="1"/>
  <c r="D141" i="11"/>
  <c r="C141" i="11"/>
  <c r="E138" i="11"/>
  <c r="D138" i="11"/>
  <c r="C138" i="11"/>
  <c r="E137" i="11"/>
  <c r="D137" i="11"/>
  <c r="C137" i="11"/>
  <c r="E136" i="11"/>
  <c r="D136" i="11"/>
  <c r="C136" i="11"/>
  <c r="E135" i="11"/>
  <c r="D135" i="11"/>
  <c r="C135" i="11"/>
  <c r="E134" i="11"/>
  <c r="D134" i="11"/>
  <c r="C134" i="11"/>
  <c r="E133" i="11"/>
  <c r="D133" i="11"/>
  <c r="C133" i="11"/>
  <c r="E132" i="11"/>
  <c r="D132" i="11"/>
  <c r="C132" i="11"/>
  <c r="E131" i="11"/>
  <c r="D131" i="11"/>
  <c r="C131" i="11"/>
  <c r="E130" i="11"/>
  <c r="D130" i="11"/>
  <c r="C130" i="11"/>
  <c r="E129" i="11"/>
  <c r="D129" i="11"/>
  <c r="C129" i="11"/>
  <c r="E128" i="11"/>
  <c r="D128" i="11"/>
  <c r="C128" i="11"/>
  <c r="E127" i="11"/>
  <c r="D127" i="11"/>
  <c r="C127" i="11"/>
  <c r="E126" i="11"/>
  <c r="D126" i="11"/>
  <c r="C126" i="11"/>
  <c r="C121" i="11"/>
  <c r="E115" i="11"/>
  <c r="D115" i="11"/>
  <c r="C115" i="11"/>
  <c r="E114" i="11"/>
  <c r="E116" i="11" s="1"/>
  <c r="D114" i="11"/>
  <c r="C114" i="11"/>
  <c r="F108" i="11"/>
  <c r="E108" i="11"/>
  <c r="D108" i="11"/>
  <c r="C108" i="11"/>
  <c r="F107" i="11"/>
  <c r="E107" i="11"/>
  <c r="D107" i="11"/>
  <c r="C107" i="11"/>
  <c r="F106" i="11"/>
  <c r="E106" i="11"/>
  <c r="D106" i="11"/>
  <c r="C106" i="11"/>
  <c r="F105" i="11"/>
  <c r="E105" i="11"/>
  <c r="D105" i="11"/>
  <c r="C105" i="11"/>
  <c r="F104" i="11"/>
  <c r="E104" i="11"/>
  <c r="D104" i="11"/>
  <c r="C104" i="11"/>
  <c r="F103" i="11"/>
  <c r="E103" i="11"/>
  <c r="D103" i="11"/>
  <c r="C103" i="11"/>
  <c r="F102" i="11"/>
  <c r="E102" i="11"/>
  <c r="D102" i="11"/>
  <c r="C102" i="11"/>
  <c r="F101" i="11"/>
  <c r="E101" i="11"/>
  <c r="D101" i="11"/>
  <c r="C101" i="11"/>
  <c r="F100" i="11"/>
  <c r="E100" i="11"/>
  <c r="D100" i="11"/>
  <c r="C100" i="11"/>
  <c r="F99" i="11"/>
  <c r="E99" i="11"/>
  <c r="D99" i="11"/>
  <c r="C99" i="11"/>
  <c r="F98" i="11"/>
  <c r="E98" i="11"/>
  <c r="D98" i="11"/>
  <c r="C98" i="11"/>
  <c r="F97" i="11"/>
  <c r="E97" i="11"/>
  <c r="D97" i="11"/>
  <c r="C97" i="11"/>
  <c r="F96" i="11"/>
  <c r="E96" i="11"/>
  <c r="D96" i="11"/>
  <c r="C96" i="11"/>
  <c r="F95" i="11"/>
  <c r="E95" i="11"/>
  <c r="D95" i="11"/>
  <c r="C95" i="11"/>
  <c r="F94" i="11"/>
  <c r="E94" i="11"/>
  <c r="D94" i="11"/>
  <c r="C94" i="11"/>
  <c r="F93" i="11"/>
  <c r="E93" i="11"/>
  <c r="D93" i="11"/>
  <c r="C93" i="11"/>
  <c r="F92" i="11"/>
  <c r="E92" i="11"/>
  <c r="D92" i="11"/>
  <c r="C92" i="11"/>
  <c r="F91" i="11"/>
  <c r="E91" i="11"/>
  <c r="D91" i="11"/>
  <c r="C91" i="11"/>
  <c r="F90" i="11"/>
  <c r="E90" i="11"/>
  <c r="D90" i="11"/>
  <c r="C90" i="11"/>
  <c r="E83" i="11"/>
  <c r="C83" i="11"/>
  <c r="E82" i="11"/>
  <c r="E84" i="11" s="1"/>
  <c r="C82" i="11"/>
  <c r="E81" i="11"/>
  <c r="C81" i="11"/>
  <c r="C84" i="11" s="1"/>
  <c r="E75" i="11"/>
  <c r="C75" i="11"/>
  <c r="E74" i="11"/>
  <c r="C74" i="11"/>
  <c r="E73" i="11"/>
  <c r="C73" i="11"/>
  <c r="E72" i="11"/>
  <c r="C72" i="11"/>
  <c r="E71" i="11"/>
  <c r="C71" i="11"/>
  <c r="E70" i="11"/>
  <c r="C70" i="11"/>
  <c r="E69" i="11"/>
  <c r="C69" i="11"/>
  <c r="C68" i="11"/>
  <c r="E67" i="11"/>
  <c r="C67" i="11"/>
  <c r="E66" i="11"/>
  <c r="C66" i="11"/>
  <c r="E65" i="11"/>
  <c r="C65" i="11"/>
  <c r="E64" i="11"/>
  <c r="C64" i="11"/>
  <c r="E63" i="11"/>
  <c r="C63" i="11"/>
  <c r="E62" i="11"/>
  <c r="C62" i="11"/>
  <c r="C61" i="11"/>
  <c r="E60" i="11"/>
  <c r="C60" i="11"/>
  <c r="E59" i="11"/>
  <c r="C59" i="11"/>
  <c r="E58" i="11"/>
  <c r="C58" i="11"/>
  <c r="E57" i="11"/>
  <c r="C57" i="11"/>
  <c r="E56" i="11"/>
  <c r="C56" i="11"/>
  <c r="C55" i="11"/>
  <c r="C76" i="11" s="1"/>
  <c r="E49" i="11"/>
  <c r="D49" i="11"/>
  <c r="C49" i="11"/>
  <c r="E48" i="11"/>
  <c r="D48" i="11"/>
  <c r="C48" i="11"/>
  <c r="E47" i="11"/>
  <c r="D47" i="11"/>
  <c r="C47" i="11"/>
  <c r="E45" i="11"/>
  <c r="D45" i="11"/>
  <c r="C45" i="11"/>
  <c r="E44" i="11"/>
  <c r="D44" i="11"/>
  <c r="C44" i="11"/>
  <c r="E43" i="11"/>
  <c r="D43" i="11"/>
  <c r="C43" i="11"/>
  <c r="E42" i="11"/>
  <c r="D42" i="11"/>
  <c r="C42" i="11"/>
  <c r="E40" i="11"/>
  <c r="D40" i="11"/>
  <c r="C40" i="11"/>
  <c r="E39" i="11"/>
  <c r="D39" i="11"/>
  <c r="C39" i="11"/>
  <c r="E37" i="11"/>
  <c r="D37" i="11"/>
  <c r="C37" i="11"/>
  <c r="E36" i="11"/>
  <c r="D36" i="11"/>
  <c r="C36" i="11"/>
  <c r="E35" i="11"/>
  <c r="D35" i="11"/>
  <c r="C35" i="11"/>
  <c r="E34" i="11"/>
  <c r="D34" i="11"/>
  <c r="C34" i="11"/>
  <c r="E33" i="11"/>
  <c r="D33" i="11"/>
  <c r="C33" i="11"/>
  <c r="E32" i="11"/>
  <c r="D32" i="11"/>
  <c r="C32" i="11"/>
  <c r="E31" i="11"/>
  <c r="D31" i="11"/>
  <c r="C31" i="11"/>
  <c r="E30" i="11"/>
  <c r="D30" i="11"/>
  <c r="C30" i="11"/>
  <c r="E29" i="11"/>
  <c r="D29" i="11"/>
  <c r="C29" i="11"/>
  <c r="E28" i="11"/>
  <c r="D28" i="11"/>
  <c r="C28" i="11"/>
  <c r="E26" i="11"/>
  <c r="D26" i="11"/>
  <c r="C26" i="11"/>
  <c r="E25" i="11"/>
  <c r="D25" i="11"/>
  <c r="C25" i="11"/>
  <c r="E24" i="11"/>
  <c r="D24" i="11"/>
  <c r="C24" i="11"/>
  <c r="E23" i="11"/>
  <c r="D23" i="11"/>
  <c r="C23" i="11"/>
  <c r="E22" i="11"/>
  <c r="D22" i="11"/>
  <c r="C22" i="11"/>
  <c r="E21" i="11"/>
  <c r="D21" i="11"/>
  <c r="C21" i="11"/>
  <c r="E20" i="11"/>
  <c r="D20" i="11"/>
  <c r="C20" i="11"/>
  <c r="E19" i="11"/>
  <c r="D19" i="11"/>
  <c r="C19" i="11"/>
  <c r="E18" i="11"/>
  <c r="D18" i="11"/>
  <c r="C18" i="11"/>
  <c r="E17" i="11"/>
  <c r="D17" i="11"/>
  <c r="C17" i="11"/>
  <c r="E16" i="11"/>
  <c r="D16" i="11"/>
  <c r="C16" i="11"/>
  <c r="E15" i="11"/>
  <c r="D15" i="11"/>
  <c r="C15" i="11"/>
  <c r="E14" i="11"/>
  <c r="D14" i="11"/>
  <c r="C14" i="11"/>
  <c r="C8" i="11"/>
  <c r="C6" i="11"/>
  <c r="A5" i="11"/>
  <c r="C4" i="11"/>
  <c r="A4" i="11"/>
  <c r="A3" i="11"/>
  <c r="A2" i="11"/>
  <c r="D109" i="11" l="1"/>
  <c r="E109" i="11"/>
  <c r="E139" i="11"/>
  <c r="E148" i="11" s="1"/>
  <c r="E168" i="11"/>
  <c r="E204" i="11"/>
  <c r="E232" i="11"/>
  <c r="C291" i="11"/>
  <c r="C50" i="11"/>
  <c r="E68" i="11"/>
  <c r="F109" i="11"/>
  <c r="C139" i="11"/>
  <c r="C148" i="11" s="1"/>
  <c r="E218" i="11"/>
  <c r="C218" i="11"/>
  <c r="E291" i="11"/>
  <c r="E50" i="11"/>
  <c r="E61" i="11"/>
  <c r="E55" i="11" s="1"/>
  <c r="E76" i="11" s="1"/>
  <c r="C109" i="11"/>
  <c r="C116" i="11"/>
  <c r="C168" i="11"/>
  <c r="E281" i="11"/>
  <c r="E303" i="11"/>
  <c r="S310" i="2"/>
  <c r="U310" i="2" s="1"/>
  <c r="U311" i="2" s="1"/>
  <c r="E345" i="10"/>
  <c r="E344" i="10"/>
  <c r="E336" i="10"/>
  <c r="E335" i="10"/>
  <c r="C330" i="10"/>
  <c r="C322" i="10"/>
  <c r="E302" i="10"/>
  <c r="D302" i="10"/>
  <c r="C302" i="10"/>
  <c r="E301" i="10"/>
  <c r="D301" i="10"/>
  <c r="C301" i="10"/>
  <c r="E300" i="10"/>
  <c r="D300" i="10"/>
  <c r="C300" i="10"/>
  <c r="E299" i="10"/>
  <c r="D299" i="10"/>
  <c r="C299" i="10"/>
  <c r="E298" i="10"/>
  <c r="D298" i="10"/>
  <c r="C298" i="10"/>
  <c r="E297" i="10"/>
  <c r="D297" i="10"/>
  <c r="C297" i="10"/>
  <c r="E296" i="10"/>
  <c r="D296" i="10"/>
  <c r="C296" i="10"/>
  <c r="E290" i="10"/>
  <c r="D290" i="10"/>
  <c r="C290" i="10"/>
  <c r="E289" i="10"/>
  <c r="D289" i="10"/>
  <c r="C289" i="10"/>
  <c r="E288" i="10"/>
  <c r="D288" i="10"/>
  <c r="C288" i="10"/>
  <c r="E287" i="10"/>
  <c r="D287" i="10"/>
  <c r="C287" i="10"/>
  <c r="E286" i="10"/>
  <c r="D286" i="10"/>
  <c r="C286" i="10"/>
  <c r="E280" i="10"/>
  <c r="D280" i="10"/>
  <c r="C280" i="10"/>
  <c r="E279" i="10"/>
  <c r="D279" i="10"/>
  <c r="C279" i="10"/>
  <c r="E278" i="10"/>
  <c r="D278" i="10"/>
  <c r="C278" i="10"/>
  <c r="E277" i="10"/>
  <c r="D277" i="10"/>
  <c r="C277" i="10"/>
  <c r="E276" i="10"/>
  <c r="D276" i="10"/>
  <c r="C276" i="10"/>
  <c r="E275" i="10"/>
  <c r="D275" i="10"/>
  <c r="C275" i="10"/>
  <c r="E273" i="10"/>
  <c r="D273" i="10"/>
  <c r="C273" i="10"/>
  <c r="E272" i="10"/>
  <c r="D272" i="10"/>
  <c r="C272" i="10"/>
  <c r="E271" i="10"/>
  <c r="D271" i="10"/>
  <c r="C271" i="10"/>
  <c r="E270" i="10"/>
  <c r="D270" i="10"/>
  <c r="C270" i="10"/>
  <c r="E269" i="10"/>
  <c r="D269" i="10"/>
  <c r="C269" i="10"/>
  <c r="E268" i="10"/>
  <c r="D268" i="10"/>
  <c r="C268" i="10"/>
  <c r="E267" i="10"/>
  <c r="D267" i="10"/>
  <c r="C267" i="10"/>
  <c r="E266" i="10"/>
  <c r="D266" i="10"/>
  <c r="C266" i="10"/>
  <c r="E265" i="10"/>
  <c r="D265" i="10"/>
  <c r="C265" i="10"/>
  <c r="E264" i="10"/>
  <c r="D264" i="10"/>
  <c r="C264" i="10"/>
  <c r="E263" i="10"/>
  <c r="D263" i="10"/>
  <c r="C263" i="10"/>
  <c r="E262" i="10"/>
  <c r="D262" i="10"/>
  <c r="C262" i="10"/>
  <c r="E261" i="10"/>
  <c r="D261" i="10"/>
  <c r="C261" i="10"/>
  <c r="E260" i="10"/>
  <c r="D260" i="10"/>
  <c r="C260" i="10"/>
  <c r="E259" i="10"/>
  <c r="D259" i="10"/>
  <c r="C259" i="10"/>
  <c r="E258" i="10"/>
  <c r="D258" i="10"/>
  <c r="C258" i="10"/>
  <c r="E257" i="10"/>
  <c r="D257" i="10"/>
  <c r="C257" i="10"/>
  <c r="E256" i="10"/>
  <c r="D256" i="10"/>
  <c r="C256" i="10"/>
  <c r="E254" i="10"/>
  <c r="D254" i="10"/>
  <c r="C254" i="10"/>
  <c r="E253" i="10"/>
  <c r="D253" i="10"/>
  <c r="C253" i="10"/>
  <c r="E252" i="10"/>
  <c r="D252" i="10"/>
  <c r="C252" i="10"/>
  <c r="E251" i="10"/>
  <c r="D251" i="10"/>
  <c r="C251" i="10"/>
  <c r="E250" i="10"/>
  <c r="D250" i="10"/>
  <c r="C250" i="10"/>
  <c r="E249" i="10"/>
  <c r="D249" i="10"/>
  <c r="C249" i="10"/>
  <c r="E248" i="10"/>
  <c r="D248" i="10"/>
  <c r="C248" i="10"/>
  <c r="E247" i="10"/>
  <c r="D247" i="10"/>
  <c r="C247" i="10"/>
  <c r="E246" i="10"/>
  <c r="D246" i="10"/>
  <c r="C246" i="10"/>
  <c r="E245" i="10"/>
  <c r="D245" i="10"/>
  <c r="C245" i="10"/>
  <c r="E244" i="10"/>
  <c r="D244" i="10"/>
  <c r="C244" i="10"/>
  <c r="E243" i="10"/>
  <c r="D243" i="10"/>
  <c r="C243" i="10"/>
  <c r="E242" i="10"/>
  <c r="D242" i="10"/>
  <c r="C242" i="10"/>
  <c r="E241" i="10"/>
  <c r="D241" i="10"/>
  <c r="C241" i="10"/>
  <c r="E237" i="10"/>
  <c r="C237" i="10"/>
  <c r="E231" i="10"/>
  <c r="D231" i="10"/>
  <c r="C231" i="10"/>
  <c r="E230" i="10"/>
  <c r="D230" i="10"/>
  <c r="C230" i="10"/>
  <c r="C225" i="10"/>
  <c r="E217" i="10"/>
  <c r="D217" i="10"/>
  <c r="C217" i="10"/>
  <c r="E216" i="10"/>
  <c r="C216" i="10"/>
  <c r="E215" i="10"/>
  <c r="D215" i="10"/>
  <c r="C215" i="10"/>
  <c r="E214" i="10"/>
  <c r="D214" i="10"/>
  <c r="C214" i="10"/>
  <c r="E213" i="10"/>
  <c r="D213" i="10"/>
  <c r="C213" i="10"/>
  <c r="E212" i="10"/>
  <c r="D212" i="10"/>
  <c r="C212" i="10"/>
  <c r="E211" i="10"/>
  <c r="D211" i="10"/>
  <c r="C211" i="10"/>
  <c r="C218" i="10" s="1"/>
  <c r="E210" i="10"/>
  <c r="D210" i="10"/>
  <c r="C210" i="10"/>
  <c r="E209" i="10"/>
  <c r="E218" i="10" s="1"/>
  <c r="D209" i="10"/>
  <c r="C209" i="10"/>
  <c r="E203" i="10"/>
  <c r="D203" i="10"/>
  <c r="C203" i="10"/>
  <c r="E202" i="10"/>
  <c r="D202" i="10"/>
  <c r="C202" i="10"/>
  <c r="E201" i="10"/>
  <c r="D201" i="10"/>
  <c r="C201" i="10"/>
  <c r="E200" i="10"/>
  <c r="D200" i="10"/>
  <c r="C200" i="10"/>
  <c r="E199" i="10"/>
  <c r="D199" i="10"/>
  <c r="C199" i="10"/>
  <c r="E198" i="10"/>
  <c r="D198" i="10"/>
  <c r="C198" i="10"/>
  <c r="E197" i="10"/>
  <c r="D197" i="10"/>
  <c r="C197" i="10"/>
  <c r="E196" i="10"/>
  <c r="D196" i="10"/>
  <c r="C196" i="10"/>
  <c r="E195" i="10"/>
  <c r="D195" i="10"/>
  <c r="C195" i="10"/>
  <c r="E194" i="10"/>
  <c r="D194" i="10"/>
  <c r="C194" i="10"/>
  <c r="E193" i="10"/>
  <c r="D193" i="10"/>
  <c r="C193" i="10"/>
  <c r="E192" i="10"/>
  <c r="D192" i="10"/>
  <c r="C192" i="10"/>
  <c r="E191" i="10"/>
  <c r="D191" i="10"/>
  <c r="C191" i="10"/>
  <c r="E190" i="10"/>
  <c r="D190" i="10"/>
  <c r="C190" i="10"/>
  <c r="E189" i="10"/>
  <c r="D189" i="10"/>
  <c r="C189" i="10"/>
  <c r="E188" i="10"/>
  <c r="D188" i="10"/>
  <c r="C188" i="10"/>
  <c r="E187" i="10"/>
  <c r="D187" i="10"/>
  <c r="C187" i="10"/>
  <c r="E186" i="10"/>
  <c r="D186" i="10"/>
  <c r="C186" i="10"/>
  <c r="E185" i="10"/>
  <c r="D185" i="10"/>
  <c r="C185" i="10"/>
  <c r="E184" i="10"/>
  <c r="D184" i="10"/>
  <c r="C184" i="10"/>
  <c r="E183" i="10"/>
  <c r="D183" i="10"/>
  <c r="C183" i="10"/>
  <c r="E182" i="10"/>
  <c r="D182" i="10"/>
  <c r="C182" i="10"/>
  <c r="E181" i="10"/>
  <c r="D181" i="10"/>
  <c r="C181" i="10"/>
  <c r="E180" i="10"/>
  <c r="D180" i="10"/>
  <c r="C180" i="10"/>
  <c r="E179" i="10"/>
  <c r="D179" i="10"/>
  <c r="C179" i="10"/>
  <c r="E178" i="10"/>
  <c r="D178" i="10"/>
  <c r="C178" i="10"/>
  <c r="E177" i="10"/>
  <c r="D177" i="10"/>
  <c r="C177" i="10"/>
  <c r="E176" i="10"/>
  <c r="D176" i="10"/>
  <c r="C176" i="10"/>
  <c r="E175" i="10"/>
  <c r="D175" i="10"/>
  <c r="C175" i="10"/>
  <c r="E174" i="10"/>
  <c r="D174" i="10"/>
  <c r="C174" i="10"/>
  <c r="E173" i="10"/>
  <c r="D173" i="10"/>
  <c r="C173" i="10"/>
  <c r="E167" i="10"/>
  <c r="D167" i="10"/>
  <c r="C167" i="10"/>
  <c r="E166" i="10"/>
  <c r="D166" i="10"/>
  <c r="C166" i="10"/>
  <c r="E165" i="10"/>
  <c r="D165" i="10"/>
  <c r="C165" i="10"/>
  <c r="E164" i="10"/>
  <c r="D164" i="10"/>
  <c r="C164" i="10"/>
  <c r="E163" i="10"/>
  <c r="D163" i="10"/>
  <c r="C163" i="10"/>
  <c r="E162" i="10"/>
  <c r="D162" i="10"/>
  <c r="C162" i="10"/>
  <c r="E161" i="10"/>
  <c r="D161" i="10"/>
  <c r="C161" i="10"/>
  <c r="E160" i="10"/>
  <c r="D160" i="10"/>
  <c r="C160" i="10"/>
  <c r="E154" i="10"/>
  <c r="D154" i="10"/>
  <c r="C154" i="10"/>
  <c r="E153" i="10"/>
  <c r="D153" i="10"/>
  <c r="C153" i="10"/>
  <c r="E146" i="10"/>
  <c r="D146" i="10"/>
  <c r="C146" i="10"/>
  <c r="E145" i="10"/>
  <c r="D145" i="10"/>
  <c r="C145" i="10"/>
  <c r="E144" i="10"/>
  <c r="D144" i="10"/>
  <c r="C144" i="10"/>
  <c r="E143" i="10"/>
  <c r="D143" i="10"/>
  <c r="C143" i="10"/>
  <c r="E142" i="10"/>
  <c r="D142" i="10"/>
  <c r="C142" i="10"/>
  <c r="E141" i="10"/>
  <c r="D141" i="10"/>
  <c r="C141" i="10"/>
  <c r="E138" i="10"/>
  <c r="D138" i="10"/>
  <c r="C138" i="10"/>
  <c r="E137" i="10"/>
  <c r="D137" i="10"/>
  <c r="C137" i="10"/>
  <c r="E136" i="10"/>
  <c r="D136" i="10"/>
  <c r="C136" i="10"/>
  <c r="E135" i="10"/>
  <c r="D135" i="10"/>
  <c r="C135" i="10"/>
  <c r="E134" i="10"/>
  <c r="D134" i="10"/>
  <c r="C134" i="10"/>
  <c r="E133" i="10"/>
  <c r="D133" i="10"/>
  <c r="C133" i="10"/>
  <c r="E132" i="10"/>
  <c r="D132" i="10"/>
  <c r="C132" i="10"/>
  <c r="E131" i="10"/>
  <c r="D131" i="10"/>
  <c r="C131" i="10"/>
  <c r="E130" i="10"/>
  <c r="D130" i="10"/>
  <c r="C130" i="10"/>
  <c r="E129" i="10"/>
  <c r="D129" i="10"/>
  <c r="C129" i="10"/>
  <c r="E128" i="10"/>
  <c r="D128" i="10"/>
  <c r="C128" i="10"/>
  <c r="E127" i="10"/>
  <c r="D127" i="10"/>
  <c r="C127" i="10"/>
  <c r="E126" i="10"/>
  <c r="D126" i="10"/>
  <c r="C126" i="10"/>
  <c r="C121" i="10"/>
  <c r="E115" i="10"/>
  <c r="D115" i="10"/>
  <c r="C115" i="10"/>
  <c r="E114" i="10"/>
  <c r="D114" i="10"/>
  <c r="C114" i="10"/>
  <c r="F108" i="10"/>
  <c r="E108" i="10"/>
  <c r="D108" i="10"/>
  <c r="C108" i="10"/>
  <c r="F107" i="10"/>
  <c r="E107" i="10"/>
  <c r="D107" i="10"/>
  <c r="C107" i="10"/>
  <c r="F106" i="10"/>
  <c r="E106" i="10"/>
  <c r="D106" i="10"/>
  <c r="C106" i="10"/>
  <c r="F105" i="10"/>
  <c r="E105" i="10"/>
  <c r="D105" i="10"/>
  <c r="C105" i="10"/>
  <c r="F104" i="10"/>
  <c r="E104" i="10"/>
  <c r="D104" i="10"/>
  <c r="C104" i="10"/>
  <c r="F103" i="10"/>
  <c r="E103" i="10"/>
  <c r="D103" i="10"/>
  <c r="C103" i="10"/>
  <c r="F102" i="10"/>
  <c r="E102" i="10"/>
  <c r="D102" i="10"/>
  <c r="C102" i="10"/>
  <c r="F101" i="10"/>
  <c r="E101" i="10"/>
  <c r="D101" i="10"/>
  <c r="C101" i="10"/>
  <c r="F100" i="10"/>
  <c r="E100" i="10"/>
  <c r="D100" i="10"/>
  <c r="C100" i="10"/>
  <c r="F99" i="10"/>
  <c r="E99" i="10"/>
  <c r="D99" i="10"/>
  <c r="C99" i="10"/>
  <c r="F98" i="10"/>
  <c r="E98" i="10"/>
  <c r="D98" i="10"/>
  <c r="C98" i="10"/>
  <c r="F97" i="10"/>
  <c r="E97" i="10"/>
  <c r="D97" i="10"/>
  <c r="C97" i="10"/>
  <c r="F96" i="10"/>
  <c r="E96" i="10"/>
  <c r="D96" i="10"/>
  <c r="C96" i="10"/>
  <c r="F95" i="10"/>
  <c r="E95" i="10"/>
  <c r="D95" i="10"/>
  <c r="C95" i="10"/>
  <c r="F94" i="10"/>
  <c r="E94" i="10"/>
  <c r="D94" i="10"/>
  <c r="C94" i="10"/>
  <c r="F93" i="10"/>
  <c r="E93" i="10"/>
  <c r="D93" i="10"/>
  <c r="C93" i="10"/>
  <c r="F92" i="10"/>
  <c r="E92" i="10"/>
  <c r="D92" i="10"/>
  <c r="C92" i="10"/>
  <c r="F91" i="10"/>
  <c r="E91" i="10"/>
  <c r="D91" i="10"/>
  <c r="C91" i="10"/>
  <c r="F90" i="10"/>
  <c r="E90" i="10"/>
  <c r="D90" i="10"/>
  <c r="C90" i="10"/>
  <c r="E83" i="10"/>
  <c r="C83" i="10"/>
  <c r="E82" i="10"/>
  <c r="C82" i="10"/>
  <c r="E81" i="10"/>
  <c r="C81" i="10"/>
  <c r="E75" i="10"/>
  <c r="C75" i="10"/>
  <c r="E74" i="10"/>
  <c r="C74" i="10"/>
  <c r="E73" i="10"/>
  <c r="C73" i="10"/>
  <c r="E72" i="10"/>
  <c r="C72" i="10"/>
  <c r="E71" i="10"/>
  <c r="C71" i="10"/>
  <c r="E70" i="10"/>
  <c r="C70" i="10"/>
  <c r="E69" i="10"/>
  <c r="C69" i="10"/>
  <c r="C68" i="10"/>
  <c r="E67" i="10"/>
  <c r="C67" i="10"/>
  <c r="E66" i="10"/>
  <c r="C66" i="10"/>
  <c r="E65" i="10"/>
  <c r="C65" i="10"/>
  <c r="E64" i="10"/>
  <c r="C64" i="10"/>
  <c r="E63" i="10"/>
  <c r="C63" i="10"/>
  <c r="E62" i="10"/>
  <c r="C62" i="10"/>
  <c r="C61" i="10"/>
  <c r="E60" i="10"/>
  <c r="C60" i="10"/>
  <c r="E59" i="10"/>
  <c r="C59" i="10"/>
  <c r="E58" i="10"/>
  <c r="C58" i="10"/>
  <c r="E57" i="10"/>
  <c r="C57" i="10"/>
  <c r="E56" i="10"/>
  <c r="C56" i="10"/>
  <c r="C55" i="10"/>
  <c r="E49" i="10"/>
  <c r="D49" i="10"/>
  <c r="C49" i="10"/>
  <c r="E48" i="10"/>
  <c r="D48" i="10"/>
  <c r="C48" i="10"/>
  <c r="E47" i="10"/>
  <c r="D47" i="10"/>
  <c r="C47" i="10"/>
  <c r="E45" i="10"/>
  <c r="D45" i="10"/>
  <c r="C45" i="10"/>
  <c r="E44" i="10"/>
  <c r="D44" i="10"/>
  <c r="C44" i="10"/>
  <c r="E43" i="10"/>
  <c r="D43" i="10"/>
  <c r="C43" i="10"/>
  <c r="E42" i="10"/>
  <c r="D42" i="10"/>
  <c r="C42" i="10"/>
  <c r="E40" i="10"/>
  <c r="D40" i="10"/>
  <c r="C40" i="10"/>
  <c r="E39" i="10"/>
  <c r="D39" i="10"/>
  <c r="C39" i="10"/>
  <c r="E37" i="10"/>
  <c r="D37" i="10"/>
  <c r="C37" i="10"/>
  <c r="E36" i="10"/>
  <c r="D36" i="10"/>
  <c r="C36" i="10"/>
  <c r="E35" i="10"/>
  <c r="D35" i="10"/>
  <c r="C35" i="10"/>
  <c r="E34" i="10"/>
  <c r="D34" i="10"/>
  <c r="C34" i="10"/>
  <c r="E33" i="10"/>
  <c r="D33" i="10"/>
  <c r="C33" i="10"/>
  <c r="E32" i="10"/>
  <c r="D32" i="10"/>
  <c r="C32" i="10"/>
  <c r="E31" i="10"/>
  <c r="D31" i="10"/>
  <c r="C31" i="10"/>
  <c r="E30" i="10"/>
  <c r="D30" i="10"/>
  <c r="C30" i="10"/>
  <c r="E29" i="10"/>
  <c r="D29" i="10"/>
  <c r="C29" i="10"/>
  <c r="E28" i="10"/>
  <c r="D28" i="10"/>
  <c r="C28" i="10"/>
  <c r="E26" i="10"/>
  <c r="D26" i="10"/>
  <c r="C26" i="10"/>
  <c r="E25" i="10"/>
  <c r="D25" i="10"/>
  <c r="C25" i="10"/>
  <c r="E24" i="10"/>
  <c r="D24" i="10"/>
  <c r="C24" i="10"/>
  <c r="E23" i="10"/>
  <c r="D23" i="10"/>
  <c r="C23" i="10"/>
  <c r="E22" i="10"/>
  <c r="D22" i="10"/>
  <c r="C22" i="10"/>
  <c r="E21" i="10"/>
  <c r="D21" i="10"/>
  <c r="C21" i="10"/>
  <c r="E20" i="10"/>
  <c r="D20" i="10"/>
  <c r="C20" i="10"/>
  <c r="E19" i="10"/>
  <c r="D19" i="10"/>
  <c r="C19" i="10"/>
  <c r="E18" i="10"/>
  <c r="D18" i="10"/>
  <c r="C18" i="10"/>
  <c r="E17" i="10"/>
  <c r="D17" i="10"/>
  <c r="C17" i="10"/>
  <c r="E16" i="10"/>
  <c r="D16" i="10"/>
  <c r="C16" i="10"/>
  <c r="E15" i="10"/>
  <c r="D15" i="10"/>
  <c r="C15" i="10"/>
  <c r="E14" i="10"/>
  <c r="D14" i="10"/>
  <c r="C14" i="10"/>
  <c r="C8" i="10"/>
  <c r="C6" i="10"/>
  <c r="A5" i="10"/>
  <c r="C4" i="10"/>
  <c r="A4" i="10"/>
  <c r="A3" i="10"/>
  <c r="A2" i="10"/>
  <c r="E116" i="10" l="1"/>
  <c r="C139" i="10"/>
  <c r="E155" i="10"/>
  <c r="C232" i="10"/>
  <c r="E68" i="10"/>
  <c r="E307" i="11"/>
  <c r="E312" i="11" s="1"/>
  <c r="E50" i="10"/>
  <c r="E61" i="10"/>
  <c r="E232" i="10"/>
  <c r="E291" i="10"/>
  <c r="E55" i="10"/>
  <c r="E76" i="10" s="1"/>
  <c r="C109" i="10"/>
  <c r="E281" i="10"/>
  <c r="E84" i="10"/>
  <c r="D109" i="10"/>
  <c r="E147" i="10"/>
  <c r="C147" i="10"/>
  <c r="C155" i="10"/>
  <c r="C204" i="10"/>
  <c r="C281" i="10"/>
  <c r="F109" i="10"/>
  <c r="C116" i="10"/>
  <c r="C168" i="10"/>
  <c r="E303" i="10"/>
  <c r="C50" i="10"/>
  <c r="C76" i="10"/>
  <c r="C84" i="10"/>
  <c r="E109" i="10"/>
  <c r="E139" i="10"/>
  <c r="E168" i="10"/>
  <c r="E204" i="10"/>
  <c r="C291" i="10"/>
  <c r="E148" i="10"/>
  <c r="E345" i="9"/>
  <c r="E344" i="9"/>
  <c r="E336" i="9"/>
  <c r="E335" i="9"/>
  <c r="C322" i="9"/>
  <c r="C330" i="9" s="1"/>
  <c r="E302" i="9"/>
  <c r="D302" i="9"/>
  <c r="C302" i="9"/>
  <c r="E301" i="9"/>
  <c r="D301" i="9"/>
  <c r="C301" i="9"/>
  <c r="E300" i="9"/>
  <c r="D300" i="9"/>
  <c r="C300" i="9"/>
  <c r="E299" i="9"/>
  <c r="D299" i="9"/>
  <c r="C299" i="9"/>
  <c r="E298" i="9"/>
  <c r="D298" i="9"/>
  <c r="C298" i="9"/>
  <c r="E297" i="9"/>
  <c r="D297" i="9"/>
  <c r="C297" i="9"/>
  <c r="E296" i="9"/>
  <c r="D296" i="9"/>
  <c r="C296" i="9"/>
  <c r="E290" i="9"/>
  <c r="D290" i="9"/>
  <c r="C290" i="9"/>
  <c r="E289" i="9"/>
  <c r="D289" i="9"/>
  <c r="C289" i="9"/>
  <c r="E288" i="9"/>
  <c r="D288" i="9"/>
  <c r="C288" i="9"/>
  <c r="E287" i="9"/>
  <c r="D287" i="9"/>
  <c r="C287" i="9"/>
  <c r="E286" i="9"/>
  <c r="D286" i="9"/>
  <c r="C286" i="9"/>
  <c r="E280" i="9"/>
  <c r="D280" i="9"/>
  <c r="C280" i="9"/>
  <c r="E279" i="9"/>
  <c r="D279" i="9"/>
  <c r="C279" i="9"/>
  <c r="E278" i="9"/>
  <c r="D278" i="9"/>
  <c r="C278" i="9"/>
  <c r="E277" i="9"/>
  <c r="D277" i="9"/>
  <c r="C277" i="9"/>
  <c r="E276" i="9"/>
  <c r="D276" i="9"/>
  <c r="C276" i="9"/>
  <c r="E275" i="9"/>
  <c r="D275" i="9"/>
  <c r="C275" i="9"/>
  <c r="E273" i="9"/>
  <c r="D273" i="9"/>
  <c r="C273" i="9"/>
  <c r="E272" i="9"/>
  <c r="D272" i="9"/>
  <c r="C272" i="9"/>
  <c r="E271" i="9"/>
  <c r="D271" i="9"/>
  <c r="C271" i="9"/>
  <c r="E270" i="9"/>
  <c r="D270" i="9"/>
  <c r="C270" i="9"/>
  <c r="E269" i="9"/>
  <c r="D269" i="9"/>
  <c r="C269" i="9"/>
  <c r="E268" i="9"/>
  <c r="D268" i="9"/>
  <c r="C268" i="9"/>
  <c r="E267" i="9"/>
  <c r="D267" i="9"/>
  <c r="C267" i="9"/>
  <c r="E266" i="9"/>
  <c r="D266" i="9"/>
  <c r="C266" i="9"/>
  <c r="E265" i="9"/>
  <c r="D265" i="9"/>
  <c r="C265" i="9"/>
  <c r="E264" i="9"/>
  <c r="D264" i="9"/>
  <c r="C264" i="9"/>
  <c r="E263" i="9"/>
  <c r="D263" i="9"/>
  <c r="C263" i="9"/>
  <c r="E262" i="9"/>
  <c r="D262" i="9"/>
  <c r="C262" i="9"/>
  <c r="E261" i="9"/>
  <c r="D261" i="9"/>
  <c r="C261" i="9"/>
  <c r="E260" i="9"/>
  <c r="D260" i="9"/>
  <c r="C260" i="9"/>
  <c r="E259" i="9"/>
  <c r="D259" i="9"/>
  <c r="C259" i="9"/>
  <c r="E258" i="9"/>
  <c r="D258" i="9"/>
  <c r="C258" i="9"/>
  <c r="E257" i="9"/>
  <c r="D257" i="9"/>
  <c r="C257" i="9"/>
  <c r="E256" i="9"/>
  <c r="D256" i="9"/>
  <c r="C256" i="9"/>
  <c r="E254" i="9"/>
  <c r="D254" i="9"/>
  <c r="C254" i="9"/>
  <c r="E253" i="9"/>
  <c r="D253" i="9"/>
  <c r="C253" i="9"/>
  <c r="E252" i="9"/>
  <c r="D252" i="9"/>
  <c r="C252" i="9"/>
  <c r="E251" i="9"/>
  <c r="D251" i="9"/>
  <c r="C251" i="9"/>
  <c r="E250" i="9"/>
  <c r="D250" i="9"/>
  <c r="C250" i="9"/>
  <c r="E249" i="9"/>
  <c r="D249" i="9"/>
  <c r="C249" i="9"/>
  <c r="E248" i="9"/>
  <c r="D248" i="9"/>
  <c r="C248" i="9"/>
  <c r="E247" i="9"/>
  <c r="D247" i="9"/>
  <c r="C247" i="9"/>
  <c r="E246" i="9"/>
  <c r="D246" i="9"/>
  <c r="C246" i="9"/>
  <c r="E245" i="9"/>
  <c r="D245" i="9"/>
  <c r="C245" i="9"/>
  <c r="E244" i="9"/>
  <c r="D244" i="9"/>
  <c r="C244" i="9"/>
  <c r="E243" i="9"/>
  <c r="D243" i="9"/>
  <c r="C243" i="9"/>
  <c r="E242" i="9"/>
  <c r="D242" i="9"/>
  <c r="C242" i="9"/>
  <c r="E241" i="9"/>
  <c r="D241" i="9"/>
  <c r="C241" i="9"/>
  <c r="E237" i="9"/>
  <c r="C237" i="9"/>
  <c r="E231" i="9"/>
  <c r="D231" i="9"/>
  <c r="C231" i="9"/>
  <c r="E230" i="9"/>
  <c r="D230" i="9"/>
  <c r="C230" i="9"/>
  <c r="C225" i="9"/>
  <c r="E217" i="9"/>
  <c r="D217" i="9"/>
  <c r="C217" i="9"/>
  <c r="E216" i="9"/>
  <c r="C216" i="9"/>
  <c r="E215" i="9"/>
  <c r="D215" i="9"/>
  <c r="C215" i="9"/>
  <c r="E214" i="9"/>
  <c r="D214" i="9"/>
  <c r="C214" i="9"/>
  <c r="E213" i="9"/>
  <c r="D213" i="9"/>
  <c r="C213" i="9"/>
  <c r="E212" i="9"/>
  <c r="D212" i="9"/>
  <c r="C212" i="9"/>
  <c r="E211" i="9"/>
  <c r="D211" i="9"/>
  <c r="C211" i="9"/>
  <c r="E210" i="9"/>
  <c r="D210" i="9"/>
  <c r="C210" i="9"/>
  <c r="E209" i="9"/>
  <c r="D209" i="9"/>
  <c r="C209" i="9"/>
  <c r="E203" i="9"/>
  <c r="D203" i="9"/>
  <c r="C203" i="9"/>
  <c r="E202" i="9"/>
  <c r="D202" i="9"/>
  <c r="C202" i="9"/>
  <c r="E201" i="9"/>
  <c r="D201" i="9"/>
  <c r="C201" i="9"/>
  <c r="E200" i="9"/>
  <c r="D200" i="9"/>
  <c r="C200" i="9"/>
  <c r="E199" i="9"/>
  <c r="D199" i="9"/>
  <c r="C199" i="9"/>
  <c r="E198" i="9"/>
  <c r="D198" i="9"/>
  <c r="C198" i="9"/>
  <c r="E197" i="9"/>
  <c r="D197" i="9"/>
  <c r="C197" i="9"/>
  <c r="E196" i="9"/>
  <c r="D196" i="9"/>
  <c r="C196" i="9"/>
  <c r="E195" i="9"/>
  <c r="D195" i="9"/>
  <c r="C195" i="9"/>
  <c r="E194" i="9"/>
  <c r="D194" i="9"/>
  <c r="C194" i="9"/>
  <c r="E193" i="9"/>
  <c r="D193" i="9"/>
  <c r="C193" i="9"/>
  <c r="E192" i="9"/>
  <c r="D192" i="9"/>
  <c r="C192" i="9"/>
  <c r="E191" i="9"/>
  <c r="D191" i="9"/>
  <c r="C191" i="9"/>
  <c r="E190" i="9"/>
  <c r="D190" i="9"/>
  <c r="C190" i="9"/>
  <c r="E189" i="9"/>
  <c r="D189" i="9"/>
  <c r="C189" i="9"/>
  <c r="E188" i="9"/>
  <c r="D188" i="9"/>
  <c r="C188" i="9"/>
  <c r="E187" i="9"/>
  <c r="D187" i="9"/>
  <c r="C187" i="9"/>
  <c r="E186" i="9"/>
  <c r="D186" i="9"/>
  <c r="C186" i="9"/>
  <c r="E185" i="9"/>
  <c r="D185" i="9"/>
  <c r="C185" i="9"/>
  <c r="E184" i="9"/>
  <c r="D184" i="9"/>
  <c r="C184" i="9"/>
  <c r="E183" i="9"/>
  <c r="D183" i="9"/>
  <c r="C183" i="9"/>
  <c r="E182" i="9"/>
  <c r="D182" i="9"/>
  <c r="C182" i="9"/>
  <c r="E181" i="9"/>
  <c r="D181" i="9"/>
  <c r="C181" i="9"/>
  <c r="E180" i="9"/>
  <c r="D180" i="9"/>
  <c r="C180" i="9"/>
  <c r="E179" i="9"/>
  <c r="D179" i="9"/>
  <c r="C179" i="9"/>
  <c r="E178" i="9"/>
  <c r="D178" i="9"/>
  <c r="C178" i="9"/>
  <c r="E177" i="9"/>
  <c r="D177" i="9"/>
  <c r="C177" i="9"/>
  <c r="E176" i="9"/>
  <c r="D176" i="9"/>
  <c r="C176" i="9"/>
  <c r="E175" i="9"/>
  <c r="D175" i="9"/>
  <c r="C175" i="9"/>
  <c r="E174" i="9"/>
  <c r="D174" i="9"/>
  <c r="C174" i="9"/>
  <c r="E173" i="9"/>
  <c r="D173" i="9"/>
  <c r="C173" i="9"/>
  <c r="E167" i="9"/>
  <c r="D167" i="9"/>
  <c r="C167" i="9"/>
  <c r="E166" i="9"/>
  <c r="D166" i="9"/>
  <c r="C166" i="9"/>
  <c r="E165" i="9"/>
  <c r="D165" i="9"/>
  <c r="C165" i="9"/>
  <c r="E164" i="9"/>
  <c r="D164" i="9"/>
  <c r="C164" i="9"/>
  <c r="E163" i="9"/>
  <c r="D163" i="9"/>
  <c r="C163" i="9"/>
  <c r="E162" i="9"/>
  <c r="D162" i="9"/>
  <c r="C162" i="9"/>
  <c r="E161" i="9"/>
  <c r="D161" i="9"/>
  <c r="C161" i="9"/>
  <c r="E160" i="9"/>
  <c r="D160" i="9"/>
  <c r="C160" i="9"/>
  <c r="E154" i="9"/>
  <c r="D154" i="9"/>
  <c r="C154" i="9"/>
  <c r="E153" i="9"/>
  <c r="D153" i="9"/>
  <c r="C153" i="9"/>
  <c r="E146" i="9"/>
  <c r="D146" i="9"/>
  <c r="C146" i="9"/>
  <c r="E145" i="9"/>
  <c r="D145" i="9"/>
  <c r="C145" i="9"/>
  <c r="E144" i="9"/>
  <c r="D144" i="9"/>
  <c r="C144" i="9"/>
  <c r="E143" i="9"/>
  <c r="D143" i="9"/>
  <c r="C143" i="9"/>
  <c r="E142" i="9"/>
  <c r="D142" i="9"/>
  <c r="C142" i="9"/>
  <c r="E141" i="9"/>
  <c r="D141" i="9"/>
  <c r="C141" i="9"/>
  <c r="E138" i="9"/>
  <c r="D138" i="9"/>
  <c r="C138" i="9"/>
  <c r="E137" i="9"/>
  <c r="D137" i="9"/>
  <c r="C137" i="9"/>
  <c r="E136" i="9"/>
  <c r="D136" i="9"/>
  <c r="C136" i="9"/>
  <c r="E135" i="9"/>
  <c r="D135" i="9"/>
  <c r="C135" i="9"/>
  <c r="E134" i="9"/>
  <c r="D134" i="9"/>
  <c r="C134" i="9"/>
  <c r="E133" i="9"/>
  <c r="D133" i="9"/>
  <c r="C133" i="9"/>
  <c r="E132" i="9"/>
  <c r="D132" i="9"/>
  <c r="C132" i="9"/>
  <c r="E131" i="9"/>
  <c r="D131" i="9"/>
  <c r="C131" i="9"/>
  <c r="E130" i="9"/>
  <c r="D130" i="9"/>
  <c r="C130" i="9"/>
  <c r="E129" i="9"/>
  <c r="D129" i="9"/>
  <c r="C129" i="9"/>
  <c r="E128" i="9"/>
  <c r="D128" i="9"/>
  <c r="C128" i="9"/>
  <c r="E127" i="9"/>
  <c r="D127" i="9"/>
  <c r="C127" i="9"/>
  <c r="E126" i="9"/>
  <c r="D126" i="9"/>
  <c r="C126" i="9"/>
  <c r="C121" i="9"/>
  <c r="E115" i="9"/>
  <c r="D115" i="9"/>
  <c r="C115" i="9"/>
  <c r="E114" i="9"/>
  <c r="D114" i="9"/>
  <c r="C114" i="9"/>
  <c r="F108" i="9"/>
  <c r="E108" i="9"/>
  <c r="D108" i="9"/>
  <c r="C108" i="9"/>
  <c r="F107" i="9"/>
  <c r="E107" i="9"/>
  <c r="D107" i="9"/>
  <c r="C107" i="9"/>
  <c r="F106" i="9"/>
  <c r="E106" i="9"/>
  <c r="D106" i="9"/>
  <c r="C106" i="9"/>
  <c r="F105" i="9"/>
  <c r="E105" i="9"/>
  <c r="D105" i="9"/>
  <c r="C105" i="9"/>
  <c r="F104" i="9"/>
  <c r="E104" i="9"/>
  <c r="D104" i="9"/>
  <c r="C104" i="9"/>
  <c r="F103" i="9"/>
  <c r="E103" i="9"/>
  <c r="D103" i="9"/>
  <c r="C103" i="9"/>
  <c r="F102" i="9"/>
  <c r="E102" i="9"/>
  <c r="D102" i="9"/>
  <c r="C102" i="9"/>
  <c r="F101" i="9"/>
  <c r="E101" i="9"/>
  <c r="D101" i="9"/>
  <c r="C101" i="9"/>
  <c r="F100" i="9"/>
  <c r="E100" i="9"/>
  <c r="D100" i="9"/>
  <c r="C100" i="9"/>
  <c r="F99" i="9"/>
  <c r="E99" i="9"/>
  <c r="D99" i="9"/>
  <c r="C99" i="9"/>
  <c r="F98" i="9"/>
  <c r="E98" i="9"/>
  <c r="D98" i="9"/>
  <c r="C98" i="9"/>
  <c r="F97" i="9"/>
  <c r="E97" i="9"/>
  <c r="D97" i="9"/>
  <c r="C97" i="9"/>
  <c r="F96" i="9"/>
  <c r="E96" i="9"/>
  <c r="D96" i="9"/>
  <c r="C96" i="9"/>
  <c r="F95" i="9"/>
  <c r="E95" i="9"/>
  <c r="D95" i="9"/>
  <c r="C95" i="9"/>
  <c r="F94" i="9"/>
  <c r="E94" i="9"/>
  <c r="D94" i="9"/>
  <c r="C94" i="9"/>
  <c r="F93" i="9"/>
  <c r="E93" i="9"/>
  <c r="D93" i="9"/>
  <c r="C93" i="9"/>
  <c r="F92" i="9"/>
  <c r="E92" i="9"/>
  <c r="D92" i="9"/>
  <c r="C92" i="9"/>
  <c r="F91" i="9"/>
  <c r="E91" i="9"/>
  <c r="D91" i="9"/>
  <c r="C91" i="9"/>
  <c r="F90" i="9"/>
  <c r="E90" i="9"/>
  <c r="D90" i="9"/>
  <c r="C90" i="9"/>
  <c r="E83" i="9"/>
  <c r="C83" i="9"/>
  <c r="E82" i="9"/>
  <c r="C82" i="9"/>
  <c r="E81" i="9"/>
  <c r="E84" i="9" s="1"/>
  <c r="C81" i="9"/>
  <c r="E75" i="9"/>
  <c r="C75" i="9"/>
  <c r="E74" i="9"/>
  <c r="C74" i="9"/>
  <c r="E73" i="9"/>
  <c r="C73" i="9"/>
  <c r="E72" i="9"/>
  <c r="C72" i="9"/>
  <c r="E71" i="9"/>
  <c r="C71" i="9"/>
  <c r="E70" i="9"/>
  <c r="C70" i="9"/>
  <c r="E69" i="9"/>
  <c r="C69" i="9"/>
  <c r="C68" i="9"/>
  <c r="E67" i="9"/>
  <c r="C67" i="9"/>
  <c r="E66" i="9"/>
  <c r="C66" i="9"/>
  <c r="E65" i="9"/>
  <c r="C65" i="9"/>
  <c r="E64" i="9"/>
  <c r="C64" i="9"/>
  <c r="E63" i="9"/>
  <c r="C63" i="9"/>
  <c r="E62" i="9"/>
  <c r="C62" i="9"/>
  <c r="C61" i="9"/>
  <c r="E60" i="9"/>
  <c r="C60" i="9"/>
  <c r="E59" i="9"/>
  <c r="C59" i="9"/>
  <c r="E58" i="9"/>
  <c r="C58" i="9"/>
  <c r="E57" i="9"/>
  <c r="C57" i="9"/>
  <c r="E56" i="9"/>
  <c r="C56" i="9"/>
  <c r="C55" i="9"/>
  <c r="E49" i="9"/>
  <c r="D49" i="9"/>
  <c r="C49" i="9"/>
  <c r="E48" i="9"/>
  <c r="D48" i="9"/>
  <c r="C48" i="9"/>
  <c r="E47" i="9"/>
  <c r="D47" i="9"/>
  <c r="C47" i="9"/>
  <c r="E45" i="9"/>
  <c r="D45" i="9"/>
  <c r="C45" i="9"/>
  <c r="E44" i="9"/>
  <c r="D44" i="9"/>
  <c r="C44" i="9"/>
  <c r="E43" i="9"/>
  <c r="D43" i="9"/>
  <c r="C43" i="9"/>
  <c r="E42" i="9"/>
  <c r="D42" i="9"/>
  <c r="C42" i="9"/>
  <c r="E40" i="9"/>
  <c r="D40" i="9"/>
  <c r="C40" i="9"/>
  <c r="E39" i="9"/>
  <c r="D39" i="9"/>
  <c r="C39" i="9"/>
  <c r="E37" i="9"/>
  <c r="D37" i="9"/>
  <c r="C37" i="9"/>
  <c r="E36" i="9"/>
  <c r="D36" i="9"/>
  <c r="C36" i="9"/>
  <c r="E35" i="9"/>
  <c r="D35" i="9"/>
  <c r="C35" i="9"/>
  <c r="E34" i="9"/>
  <c r="D34" i="9"/>
  <c r="C34" i="9"/>
  <c r="E33" i="9"/>
  <c r="D33" i="9"/>
  <c r="C33" i="9"/>
  <c r="E32" i="9"/>
  <c r="D32" i="9"/>
  <c r="C32" i="9"/>
  <c r="E31" i="9"/>
  <c r="D31" i="9"/>
  <c r="C31" i="9"/>
  <c r="E30" i="9"/>
  <c r="D30" i="9"/>
  <c r="C30" i="9"/>
  <c r="E29" i="9"/>
  <c r="D29" i="9"/>
  <c r="C29" i="9"/>
  <c r="E28" i="9"/>
  <c r="D28" i="9"/>
  <c r="C28" i="9"/>
  <c r="E26" i="9"/>
  <c r="D26" i="9"/>
  <c r="C26" i="9"/>
  <c r="E25" i="9"/>
  <c r="D25" i="9"/>
  <c r="C25" i="9"/>
  <c r="E24" i="9"/>
  <c r="D24" i="9"/>
  <c r="C24" i="9"/>
  <c r="E23" i="9"/>
  <c r="D23" i="9"/>
  <c r="C23" i="9"/>
  <c r="E22" i="9"/>
  <c r="D22" i="9"/>
  <c r="C22" i="9"/>
  <c r="E21" i="9"/>
  <c r="D21" i="9"/>
  <c r="C21" i="9"/>
  <c r="E20" i="9"/>
  <c r="D20" i="9"/>
  <c r="C20" i="9"/>
  <c r="E19" i="9"/>
  <c r="D19" i="9"/>
  <c r="C19" i="9"/>
  <c r="E18" i="9"/>
  <c r="D18" i="9"/>
  <c r="C18" i="9"/>
  <c r="E17" i="9"/>
  <c r="D17" i="9"/>
  <c r="C17" i="9"/>
  <c r="E16" i="9"/>
  <c r="D16" i="9"/>
  <c r="C16" i="9"/>
  <c r="E15" i="9"/>
  <c r="D15" i="9"/>
  <c r="C15" i="9"/>
  <c r="E14" i="9"/>
  <c r="D14" i="9"/>
  <c r="C14" i="9"/>
  <c r="C50" i="9" s="1"/>
  <c r="C8" i="9"/>
  <c r="C6" i="9"/>
  <c r="A5" i="9"/>
  <c r="C4" i="9"/>
  <c r="A4" i="9"/>
  <c r="A3" i="9"/>
  <c r="A2" i="9"/>
  <c r="C155" i="9" l="1"/>
  <c r="C148" i="10"/>
  <c r="E307" i="10"/>
  <c r="E312" i="10" s="1"/>
  <c r="E155" i="9"/>
  <c r="E232" i="9"/>
  <c r="E281" i="9"/>
  <c r="C281" i="9"/>
  <c r="C291" i="9"/>
  <c r="E303" i="9"/>
  <c r="C116" i="9"/>
  <c r="E61" i="9"/>
  <c r="E55" i="9" s="1"/>
  <c r="C147" i="9"/>
  <c r="E218" i="9"/>
  <c r="C76" i="9"/>
  <c r="F109" i="9"/>
  <c r="C84" i="9"/>
  <c r="C109" i="9"/>
  <c r="C139" i="9"/>
  <c r="C148" i="9" s="1"/>
  <c r="E139" i="9"/>
  <c r="C168" i="9"/>
  <c r="C204" i="9"/>
  <c r="C232" i="9"/>
  <c r="E50" i="9"/>
  <c r="E68" i="9"/>
  <c r="D109" i="9"/>
  <c r="E168" i="9"/>
  <c r="C218" i="9"/>
  <c r="E291" i="9"/>
  <c r="E109" i="9"/>
  <c r="E116" i="9"/>
  <c r="E147" i="9"/>
  <c r="E204" i="9"/>
  <c r="G110" i="2"/>
  <c r="G111" i="2"/>
  <c r="G112" i="2"/>
  <c r="H112" i="2" s="1"/>
  <c r="I112" i="2" s="1"/>
  <c r="J112" i="2" s="1"/>
  <c r="G113" i="2"/>
  <c r="H113" i="2" s="1"/>
  <c r="I113" i="2" s="1"/>
  <c r="J113" i="2" s="1"/>
  <c r="J27" i="2"/>
  <c r="J38" i="2"/>
  <c r="J41" i="2"/>
  <c r="J46" i="2"/>
  <c r="J51" i="2"/>
  <c r="J52" i="2"/>
  <c r="J53" i="2"/>
  <c r="J77" i="2"/>
  <c r="J78" i="2"/>
  <c r="J79" i="2"/>
  <c r="J85" i="2"/>
  <c r="J86" i="2"/>
  <c r="J87" i="2"/>
  <c r="J88" i="2"/>
  <c r="J117" i="2"/>
  <c r="J118" i="2"/>
  <c r="J119" i="2"/>
  <c r="J120" i="2"/>
  <c r="J121" i="2"/>
  <c r="J122" i="2"/>
  <c r="J123" i="2"/>
  <c r="J124" i="2"/>
  <c r="J149" i="2"/>
  <c r="J150" i="2"/>
  <c r="J151" i="2"/>
  <c r="J156" i="2"/>
  <c r="J157" i="2"/>
  <c r="J158" i="2"/>
  <c r="J169" i="2"/>
  <c r="J170" i="2"/>
  <c r="J171" i="2"/>
  <c r="J205" i="2"/>
  <c r="J206" i="2"/>
  <c r="J207" i="2"/>
  <c r="J219" i="2"/>
  <c r="J220" i="2"/>
  <c r="J221" i="2"/>
  <c r="J222" i="2"/>
  <c r="J223" i="2"/>
  <c r="J224" i="2"/>
  <c r="J225" i="2"/>
  <c r="J226" i="2"/>
  <c r="J227" i="2"/>
  <c r="J228" i="2"/>
  <c r="J233" i="2"/>
  <c r="J234" i="2"/>
  <c r="J235" i="2"/>
  <c r="J238" i="2"/>
  <c r="J239" i="2"/>
  <c r="J255" i="2"/>
  <c r="I27" i="2"/>
  <c r="I38" i="2"/>
  <c r="I41" i="2"/>
  <c r="I46" i="2"/>
  <c r="I51" i="2"/>
  <c r="I52" i="2"/>
  <c r="I53" i="2"/>
  <c r="I77" i="2"/>
  <c r="I78" i="2"/>
  <c r="I79" i="2"/>
  <c r="I85" i="2"/>
  <c r="I86" i="2"/>
  <c r="I87" i="2"/>
  <c r="I88" i="2"/>
  <c r="I117" i="2"/>
  <c r="I118" i="2"/>
  <c r="I119" i="2"/>
  <c r="I120" i="2"/>
  <c r="I121" i="2"/>
  <c r="I122" i="2"/>
  <c r="I123" i="2"/>
  <c r="I124" i="2"/>
  <c r="I149" i="2"/>
  <c r="I150" i="2"/>
  <c r="I151" i="2"/>
  <c r="I156" i="2"/>
  <c r="I157" i="2"/>
  <c r="I158" i="2"/>
  <c r="I169" i="2"/>
  <c r="I170" i="2"/>
  <c r="I171" i="2"/>
  <c r="I205" i="2"/>
  <c r="I206" i="2"/>
  <c r="I207" i="2"/>
  <c r="I219" i="2"/>
  <c r="I220" i="2"/>
  <c r="I221" i="2"/>
  <c r="I222" i="2"/>
  <c r="I223" i="2"/>
  <c r="I224" i="2"/>
  <c r="I225" i="2"/>
  <c r="I226" i="2"/>
  <c r="I227" i="2"/>
  <c r="I228" i="2"/>
  <c r="I233" i="2"/>
  <c r="I234" i="2"/>
  <c r="I235" i="2"/>
  <c r="I238" i="2"/>
  <c r="I239" i="2"/>
  <c r="I255" i="2"/>
  <c r="H27" i="2"/>
  <c r="H38" i="2"/>
  <c r="H41" i="2"/>
  <c r="H46" i="2"/>
  <c r="H51" i="2"/>
  <c r="H52" i="2"/>
  <c r="H53" i="2"/>
  <c r="H77" i="2"/>
  <c r="H78" i="2"/>
  <c r="H79" i="2"/>
  <c r="H85" i="2"/>
  <c r="H86" i="2"/>
  <c r="H87" i="2"/>
  <c r="H88" i="2"/>
  <c r="H110" i="2"/>
  <c r="I110" i="2" s="1"/>
  <c r="J110" i="2" s="1"/>
  <c r="H111" i="2"/>
  <c r="I111" i="2" s="1"/>
  <c r="J111" i="2" s="1"/>
  <c r="H117" i="2"/>
  <c r="H118" i="2"/>
  <c r="H119" i="2"/>
  <c r="H120" i="2"/>
  <c r="H121" i="2"/>
  <c r="H122" i="2"/>
  <c r="H123" i="2"/>
  <c r="H124" i="2"/>
  <c r="H149" i="2"/>
  <c r="H150" i="2"/>
  <c r="H151" i="2"/>
  <c r="H156" i="2"/>
  <c r="H157" i="2"/>
  <c r="H158" i="2"/>
  <c r="H169" i="2"/>
  <c r="H170" i="2"/>
  <c r="H171" i="2"/>
  <c r="H205" i="2"/>
  <c r="H206" i="2"/>
  <c r="H207" i="2"/>
  <c r="H219" i="2"/>
  <c r="H220" i="2"/>
  <c r="H221" i="2"/>
  <c r="H222" i="2"/>
  <c r="H223" i="2"/>
  <c r="H224" i="2"/>
  <c r="H225" i="2"/>
  <c r="H226" i="2"/>
  <c r="H227" i="2"/>
  <c r="H228" i="2"/>
  <c r="H233" i="2"/>
  <c r="H234" i="2"/>
  <c r="H235" i="2"/>
  <c r="H238" i="2"/>
  <c r="H239" i="2"/>
  <c r="H255" i="2"/>
  <c r="G27" i="2"/>
  <c r="G38" i="2"/>
  <c r="G41" i="2"/>
  <c r="G46" i="2"/>
  <c r="G51" i="2"/>
  <c r="G52" i="2"/>
  <c r="G53" i="2"/>
  <c r="G77" i="2"/>
  <c r="G78" i="2"/>
  <c r="G79" i="2"/>
  <c r="G85" i="2"/>
  <c r="G86" i="2"/>
  <c r="G87" i="2"/>
  <c r="G88" i="2"/>
  <c r="G117" i="2"/>
  <c r="G118" i="2"/>
  <c r="G119" i="2"/>
  <c r="G120" i="2"/>
  <c r="G121" i="2"/>
  <c r="G122" i="2"/>
  <c r="G123" i="2"/>
  <c r="G124" i="2"/>
  <c r="G149" i="2"/>
  <c r="G150" i="2"/>
  <c r="G151" i="2"/>
  <c r="G156" i="2"/>
  <c r="G157" i="2"/>
  <c r="G158" i="2"/>
  <c r="G169" i="2"/>
  <c r="G170" i="2"/>
  <c r="G171" i="2"/>
  <c r="G205" i="2"/>
  <c r="G206" i="2"/>
  <c r="G207" i="2"/>
  <c r="G219" i="2"/>
  <c r="G220" i="2"/>
  <c r="G221" i="2"/>
  <c r="G222" i="2"/>
  <c r="G223" i="2"/>
  <c r="G224" i="2"/>
  <c r="G225" i="2"/>
  <c r="G226" i="2"/>
  <c r="G227" i="2"/>
  <c r="G228" i="2"/>
  <c r="G233" i="2"/>
  <c r="G234" i="2"/>
  <c r="G235" i="2"/>
  <c r="G238" i="2"/>
  <c r="G239" i="2"/>
  <c r="G255" i="2"/>
  <c r="G274" i="2"/>
  <c r="H274" i="2" s="1"/>
  <c r="I274" i="2" s="1"/>
  <c r="J274" i="2" s="1"/>
  <c r="G282" i="2"/>
  <c r="H282" i="2" s="1"/>
  <c r="I282" i="2" s="1"/>
  <c r="J282" i="2" s="1"/>
  <c r="G283" i="2"/>
  <c r="H283" i="2" s="1"/>
  <c r="I283" i="2" s="1"/>
  <c r="J283" i="2" s="1"/>
  <c r="G284" i="2"/>
  <c r="H284" i="2" s="1"/>
  <c r="I284" i="2" s="1"/>
  <c r="J284" i="2" s="1"/>
  <c r="G292" i="2"/>
  <c r="H292" i="2" s="1"/>
  <c r="I292" i="2" s="1"/>
  <c r="J292" i="2" s="1"/>
  <c r="G293" i="2"/>
  <c r="H293" i="2" s="1"/>
  <c r="I293" i="2" s="1"/>
  <c r="J293" i="2" s="1"/>
  <c r="G294" i="2"/>
  <c r="H294" i="2" s="1"/>
  <c r="I294" i="2" s="1"/>
  <c r="J294" i="2" s="1"/>
  <c r="G304" i="2"/>
  <c r="H304" i="2" s="1"/>
  <c r="I304" i="2" s="1"/>
  <c r="J304" i="2" s="1"/>
  <c r="G305" i="2"/>
  <c r="H305" i="2" s="1"/>
  <c r="I305" i="2" s="1"/>
  <c r="J305" i="2" s="1"/>
  <c r="G306" i="2"/>
  <c r="H306" i="2" s="1"/>
  <c r="I306" i="2" s="1"/>
  <c r="J306" i="2" s="1"/>
  <c r="G308" i="2"/>
  <c r="H308" i="2" s="1"/>
  <c r="I308" i="2" s="1"/>
  <c r="J308" i="2" s="1"/>
  <c r="G309" i="2"/>
  <c r="H309" i="2" s="1"/>
  <c r="I309" i="2" s="1"/>
  <c r="J309" i="2" s="1"/>
  <c r="G310" i="2"/>
  <c r="H310" i="2" s="1"/>
  <c r="I310" i="2" s="1"/>
  <c r="J310" i="2" s="1"/>
  <c r="G313" i="2"/>
  <c r="H313" i="2" s="1"/>
  <c r="G315" i="2"/>
  <c r="G316" i="2"/>
  <c r="F11" i="2"/>
  <c r="E307" i="9" l="1"/>
  <c r="E148" i="9"/>
  <c r="E76" i="9"/>
  <c r="E345" i="8"/>
  <c r="E344" i="8"/>
  <c r="E336" i="8"/>
  <c r="E335" i="8"/>
  <c r="C330" i="8"/>
  <c r="C322" i="8"/>
  <c r="E302" i="8"/>
  <c r="D302" i="8"/>
  <c r="C302" i="8"/>
  <c r="E301" i="8"/>
  <c r="D301" i="8"/>
  <c r="C301" i="8"/>
  <c r="E300" i="8"/>
  <c r="D300" i="8"/>
  <c r="C300" i="8"/>
  <c r="E299" i="8"/>
  <c r="D299" i="8"/>
  <c r="C299" i="8"/>
  <c r="E298" i="8"/>
  <c r="D298" i="8"/>
  <c r="C298" i="8"/>
  <c r="E297" i="8"/>
  <c r="D297" i="8"/>
  <c r="C297" i="8"/>
  <c r="E296" i="8"/>
  <c r="D296" i="8"/>
  <c r="C296" i="8"/>
  <c r="E290" i="8"/>
  <c r="D290" i="8"/>
  <c r="C290" i="8"/>
  <c r="E289" i="8"/>
  <c r="D289" i="8"/>
  <c r="C289" i="8"/>
  <c r="E288" i="8"/>
  <c r="D288" i="8"/>
  <c r="C288" i="8"/>
  <c r="E287" i="8"/>
  <c r="D287" i="8"/>
  <c r="C287" i="8"/>
  <c r="E286" i="8"/>
  <c r="D286" i="8"/>
  <c r="C286" i="8"/>
  <c r="E280" i="8"/>
  <c r="D280" i="8"/>
  <c r="C280" i="8"/>
  <c r="E279" i="8"/>
  <c r="D279" i="8"/>
  <c r="C279" i="8"/>
  <c r="E278" i="8"/>
  <c r="D278" i="8"/>
  <c r="C278" i="8"/>
  <c r="E277" i="8"/>
  <c r="D277" i="8"/>
  <c r="C277" i="8"/>
  <c r="E276" i="8"/>
  <c r="D276" i="8"/>
  <c r="C276" i="8"/>
  <c r="E275" i="8"/>
  <c r="D275" i="8"/>
  <c r="C275" i="8"/>
  <c r="E273" i="8"/>
  <c r="D273" i="8"/>
  <c r="C273" i="8"/>
  <c r="E272" i="8"/>
  <c r="D272" i="8"/>
  <c r="C272" i="8"/>
  <c r="E271" i="8"/>
  <c r="D271" i="8"/>
  <c r="C271" i="8"/>
  <c r="E270" i="8"/>
  <c r="D270" i="8"/>
  <c r="C270" i="8"/>
  <c r="E269" i="8"/>
  <c r="D269" i="8"/>
  <c r="C269" i="8"/>
  <c r="E268" i="8"/>
  <c r="D268" i="8"/>
  <c r="C268" i="8"/>
  <c r="E267" i="8"/>
  <c r="D267" i="8"/>
  <c r="C267" i="8"/>
  <c r="E266" i="8"/>
  <c r="D266" i="8"/>
  <c r="C266" i="8"/>
  <c r="E265" i="8"/>
  <c r="D265" i="8"/>
  <c r="C265" i="8"/>
  <c r="E264" i="8"/>
  <c r="D264" i="8"/>
  <c r="C264" i="8"/>
  <c r="E263" i="8"/>
  <c r="D263" i="8"/>
  <c r="C263" i="8"/>
  <c r="E262" i="8"/>
  <c r="D262" i="8"/>
  <c r="C262" i="8"/>
  <c r="E261" i="8"/>
  <c r="D261" i="8"/>
  <c r="C261" i="8"/>
  <c r="E260" i="8"/>
  <c r="D260" i="8"/>
  <c r="C260" i="8"/>
  <c r="E259" i="8"/>
  <c r="D259" i="8"/>
  <c r="C259" i="8"/>
  <c r="E258" i="8"/>
  <c r="D258" i="8"/>
  <c r="C258" i="8"/>
  <c r="E257" i="8"/>
  <c r="D257" i="8"/>
  <c r="C257" i="8"/>
  <c r="E256" i="8"/>
  <c r="D256" i="8"/>
  <c r="C256" i="8"/>
  <c r="E254" i="8"/>
  <c r="D254" i="8"/>
  <c r="C254" i="8"/>
  <c r="E253" i="8"/>
  <c r="D253" i="8"/>
  <c r="C253" i="8"/>
  <c r="E252" i="8"/>
  <c r="D252" i="8"/>
  <c r="C252" i="8"/>
  <c r="E251" i="8"/>
  <c r="D251" i="8"/>
  <c r="C251" i="8"/>
  <c r="E250" i="8"/>
  <c r="D250" i="8"/>
  <c r="C250" i="8"/>
  <c r="E249" i="8"/>
  <c r="D249" i="8"/>
  <c r="C249" i="8"/>
  <c r="E248" i="8"/>
  <c r="D248" i="8"/>
  <c r="C248" i="8"/>
  <c r="E247" i="8"/>
  <c r="D247" i="8"/>
  <c r="C247" i="8"/>
  <c r="E246" i="8"/>
  <c r="D246" i="8"/>
  <c r="C246" i="8"/>
  <c r="E245" i="8"/>
  <c r="D245" i="8"/>
  <c r="C245" i="8"/>
  <c r="E244" i="8"/>
  <c r="D244" i="8"/>
  <c r="C244" i="8"/>
  <c r="E243" i="8"/>
  <c r="D243" i="8"/>
  <c r="C243" i="8"/>
  <c r="E242" i="8"/>
  <c r="D242" i="8"/>
  <c r="C242" i="8"/>
  <c r="E241" i="8"/>
  <c r="D241" i="8"/>
  <c r="C241" i="8"/>
  <c r="E237" i="8"/>
  <c r="C237" i="8"/>
  <c r="E231" i="8"/>
  <c r="D231" i="8"/>
  <c r="C231" i="8"/>
  <c r="E230" i="8"/>
  <c r="D230" i="8"/>
  <c r="C230" i="8"/>
  <c r="C225" i="8"/>
  <c r="E217" i="8"/>
  <c r="D217" i="8"/>
  <c r="C217" i="8"/>
  <c r="E216" i="8"/>
  <c r="C216" i="8"/>
  <c r="E215" i="8"/>
  <c r="D215" i="8"/>
  <c r="C215" i="8"/>
  <c r="E214" i="8"/>
  <c r="D214" i="8"/>
  <c r="C214" i="8"/>
  <c r="E213" i="8"/>
  <c r="D213" i="8"/>
  <c r="C213" i="8"/>
  <c r="E212" i="8"/>
  <c r="D212" i="8"/>
  <c r="C212" i="8"/>
  <c r="E211" i="8"/>
  <c r="D211" i="8"/>
  <c r="C211" i="8"/>
  <c r="E210" i="8"/>
  <c r="D210" i="8"/>
  <c r="C210" i="8"/>
  <c r="E209" i="8"/>
  <c r="D209" i="8"/>
  <c r="C209" i="8"/>
  <c r="E203" i="8"/>
  <c r="D203" i="8"/>
  <c r="C203" i="8"/>
  <c r="E202" i="8"/>
  <c r="D202" i="8"/>
  <c r="C202" i="8"/>
  <c r="E201" i="8"/>
  <c r="D201" i="8"/>
  <c r="C201" i="8"/>
  <c r="E200" i="8"/>
  <c r="D200" i="8"/>
  <c r="C200" i="8"/>
  <c r="E199" i="8"/>
  <c r="D199" i="8"/>
  <c r="C199" i="8"/>
  <c r="E198" i="8"/>
  <c r="D198" i="8"/>
  <c r="C198" i="8"/>
  <c r="E197" i="8"/>
  <c r="D197" i="8"/>
  <c r="C197" i="8"/>
  <c r="E196" i="8"/>
  <c r="D196" i="8"/>
  <c r="C196" i="8"/>
  <c r="E195" i="8"/>
  <c r="D195" i="8"/>
  <c r="C195" i="8"/>
  <c r="E194" i="8"/>
  <c r="D194" i="8"/>
  <c r="C194" i="8"/>
  <c r="E193" i="8"/>
  <c r="D193" i="8"/>
  <c r="C193" i="8"/>
  <c r="E192" i="8"/>
  <c r="D192" i="8"/>
  <c r="C192" i="8"/>
  <c r="E191" i="8"/>
  <c r="D191" i="8"/>
  <c r="C191" i="8"/>
  <c r="E190" i="8"/>
  <c r="D190" i="8"/>
  <c r="C190" i="8"/>
  <c r="E189" i="8"/>
  <c r="D189" i="8"/>
  <c r="C189" i="8"/>
  <c r="E188" i="8"/>
  <c r="D188" i="8"/>
  <c r="C188" i="8"/>
  <c r="E187" i="8"/>
  <c r="D187" i="8"/>
  <c r="C187" i="8"/>
  <c r="E186" i="8"/>
  <c r="D186" i="8"/>
  <c r="C186" i="8"/>
  <c r="E185" i="8"/>
  <c r="D185" i="8"/>
  <c r="C185" i="8"/>
  <c r="E184" i="8"/>
  <c r="D184" i="8"/>
  <c r="C184" i="8"/>
  <c r="E183" i="8"/>
  <c r="D183" i="8"/>
  <c r="C183" i="8"/>
  <c r="E182" i="8"/>
  <c r="D182" i="8"/>
  <c r="C182" i="8"/>
  <c r="E181" i="8"/>
  <c r="D181" i="8"/>
  <c r="C181" i="8"/>
  <c r="E180" i="8"/>
  <c r="D180" i="8"/>
  <c r="C180" i="8"/>
  <c r="E179" i="8"/>
  <c r="D179" i="8"/>
  <c r="C179" i="8"/>
  <c r="E178" i="8"/>
  <c r="D178" i="8"/>
  <c r="C178" i="8"/>
  <c r="E177" i="8"/>
  <c r="D177" i="8"/>
  <c r="C177" i="8"/>
  <c r="E176" i="8"/>
  <c r="D176" i="8"/>
  <c r="C176" i="8"/>
  <c r="E175" i="8"/>
  <c r="D175" i="8"/>
  <c r="C175" i="8"/>
  <c r="E174" i="8"/>
  <c r="D174" i="8"/>
  <c r="C174" i="8"/>
  <c r="E173" i="8"/>
  <c r="D173" i="8"/>
  <c r="C173" i="8"/>
  <c r="E167" i="8"/>
  <c r="D167" i="8"/>
  <c r="C167" i="8"/>
  <c r="E166" i="8"/>
  <c r="D166" i="8"/>
  <c r="C166" i="8"/>
  <c r="E165" i="8"/>
  <c r="D165" i="8"/>
  <c r="C165" i="8"/>
  <c r="E164" i="8"/>
  <c r="D164" i="8"/>
  <c r="C164" i="8"/>
  <c r="E163" i="8"/>
  <c r="D163" i="8"/>
  <c r="C163" i="8"/>
  <c r="E162" i="8"/>
  <c r="D162" i="8"/>
  <c r="C162" i="8"/>
  <c r="E161" i="8"/>
  <c r="D161" i="8"/>
  <c r="C161" i="8"/>
  <c r="E160" i="8"/>
  <c r="D160" i="8"/>
  <c r="C160" i="8"/>
  <c r="E154" i="8"/>
  <c r="D154" i="8"/>
  <c r="C154" i="8"/>
  <c r="E153" i="8"/>
  <c r="D153" i="8"/>
  <c r="C153" i="8"/>
  <c r="E146" i="8"/>
  <c r="D146" i="8"/>
  <c r="C146" i="8"/>
  <c r="E145" i="8"/>
  <c r="D145" i="8"/>
  <c r="C145" i="8"/>
  <c r="E144" i="8"/>
  <c r="D144" i="8"/>
  <c r="C144" i="8"/>
  <c r="E143" i="8"/>
  <c r="D143" i="8"/>
  <c r="C143" i="8"/>
  <c r="E142" i="8"/>
  <c r="D142" i="8"/>
  <c r="C142" i="8"/>
  <c r="E141" i="8"/>
  <c r="D141" i="8"/>
  <c r="C141" i="8"/>
  <c r="E138" i="8"/>
  <c r="D138" i="8"/>
  <c r="C138" i="8"/>
  <c r="E137" i="8"/>
  <c r="D137" i="8"/>
  <c r="C137" i="8"/>
  <c r="E136" i="8"/>
  <c r="D136" i="8"/>
  <c r="C136" i="8"/>
  <c r="E135" i="8"/>
  <c r="D135" i="8"/>
  <c r="C135" i="8"/>
  <c r="E134" i="8"/>
  <c r="D134" i="8"/>
  <c r="C134" i="8"/>
  <c r="E133" i="8"/>
  <c r="D133" i="8"/>
  <c r="C133" i="8"/>
  <c r="E132" i="8"/>
  <c r="D132" i="8"/>
  <c r="C132" i="8"/>
  <c r="E131" i="8"/>
  <c r="D131" i="8"/>
  <c r="C131" i="8"/>
  <c r="E130" i="8"/>
  <c r="D130" i="8"/>
  <c r="C130" i="8"/>
  <c r="E129" i="8"/>
  <c r="D129" i="8"/>
  <c r="C129" i="8"/>
  <c r="E128" i="8"/>
  <c r="D128" i="8"/>
  <c r="C128" i="8"/>
  <c r="E127" i="8"/>
  <c r="D127" i="8"/>
  <c r="C127" i="8"/>
  <c r="E126" i="8"/>
  <c r="D126" i="8"/>
  <c r="C126" i="8"/>
  <c r="C121" i="8"/>
  <c r="E115" i="8"/>
  <c r="D115" i="8"/>
  <c r="C115" i="8"/>
  <c r="E114" i="8"/>
  <c r="D114" i="8"/>
  <c r="C114" i="8"/>
  <c r="F108" i="8"/>
  <c r="E108" i="8"/>
  <c r="D108" i="8"/>
  <c r="C108" i="8"/>
  <c r="F107" i="8"/>
  <c r="E107" i="8"/>
  <c r="D107" i="8"/>
  <c r="C107" i="8"/>
  <c r="F106" i="8"/>
  <c r="E106" i="8"/>
  <c r="D106" i="8"/>
  <c r="C106" i="8"/>
  <c r="F105" i="8"/>
  <c r="E105" i="8"/>
  <c r="D105" i="8"/>
  <c r="C105" i="8"/>
  <c r="F104" i="8"/>
  <c r="E104" i="8"/>
  <c r="D104" i="8"/>
  <c r="C104" i="8"/>
  <c r="F103" i="8"/>
  <c r="E103" i="8"/>
  <c r="D103" i="8"/>
  <c r="C103" i="8"/>
  <c r="F102" i="8"/>
  <c r="E102" i="8"/>
  <c r="D102" i="8"/>
  <c r="C102" i="8"/>
  <c r="F101" i="8"/>
  <c r="E101" i="8"/>
  <c r="D101" i="8"/>
  <c r="C101" i="8"/>
  <c r="F100" i="8"/>
  <c r="E100" i="8"/>
  <c r="D100" i="8"/>
  <c r="C100" i="8"/>
  <c r="F99" i="8"/>
  <c r="E99" i="8"/>
  <c r="D99" i="8"/>
  <c r="C99" i="8"/>
  <c r="F98" i="8"/>
  <c r="E98" i="8"/>
  <c r="D98" i="8"/>
  <c r="C98" i="8"/>
  <c r="F97" i="8"/>
  <c r="E97" i="8"/>
  <c r="D97" i="8"/>
  <c r="C97" i="8"/>
  <c r="F96" i="8"/>
  <c r="E96" i="8"/>
  <c r="D96" i="8"/>
  <c r="C96" i="8"/>
  <c r="F95" i="8"/>
  <c r="E95" i="8"/>
  <c r="D95" i="8"/>
  <c r="C95" i="8"/>
  <c r="F94" i="8"/>
  <c r="E94" i="8"/>
  <c r="D94" i="8"/>
  <c r="C94" i="8"/>
  <c r="F93" i="8"/>
  <c r="E93" i="8"/>
  <c r="D93" i="8"/>
  <c r="C93" i="8"/>
  <c r="F92" i="8"/>
  <c r="E92" i="8"/>
  <c r="D92" i="8"/>
  <c r="C92" i="8"/>
  <c r="F91" i="8"/>
  <c r="E91" i="8"/>
  <c r="D91" i="8"/>
  <c r="C91" i="8"/>
  <c r="F90" i="8"/>
  <c r="E90" i="8"/>
  <c r="D90" i="8"/>
  <c r="C90" i="8"/>
  <c r="E83" i="8"/>
  <c r="C83" i="8"/>
  <c r="E82" i="8"/>
  <c r="C82" i="8"/>
  <c r="E81" i="8"/>
  <c r="C81" i="8"/>
  <c r="E75" i="8"/>
  <c r="C75" i="8"/>
  <c r="E74" i="8"/>
  <c r="C74" i="8"/>
  <c r="E73" i="8"/>
  <c r="C73" i="8"/>
  <c r="E72" i="8"/>
  <c r="C72" i="8"/>
  <c r="E71" i="8"/>
  <c r="C71" i="8"/>
  <c r="E70" i="8"/>
  <c r="C70" i="8"/>
  <c r="E69" i="8"/>
  <c r="C69" i="8"/>
  <c r="C68" i="8"/>
  <c r="E67" i="8"/>
  <c r="C67" i="8"/>
  <c r="E66" i="8"/>
  <c r="C66" i="8"/>
  <c r="E65" i="8"/>
  <c r="C65" i="8"/>
  <c r="E64" i="8"/>
  <c r="C64" i="8"/>
  <c r="E63" i="8"/>
  <c r="C63" i="8"/>
  <c r="E62" i="8"/>
  <c r="C62" i="8"/>
  <c r="C61" i="8"/>
  <c r="E60" i="8"/>
  <c r="C60" i="8"/>
  <c r="E59" i="8"/>
  <c r="C59" i="8"/>
  <c r="E58" i="8"/>
  <c r="C58" i="8"/>
  <c r="E57" i="8"/>
  <c r="C57" i="8"/>
  <c r="E56" i="8"/>
  <c r="C56" i="8"/>
  <c r="C55" i="8"/>
  <c r="E49" i="8"/>
  <c r="D49" i="8"/>
  <c r="C49" i="8"/>
  <c r="E48" i="8"/>
  <c r="D48" i="8"/>
  <c r="C48" i="8"/>
  <c r="E47" i="8"/>
  <c r="D47" i="8"/>
  <c r="C47" i="8"/>
  <c r="E45" i="8"/>
  <c r="D45" i="8"/>
  <c r="C45" i="8"/>
  <c r="E44" i="8"/>
  <c r="D44" i="8"/>
  <c r="C44" i="8"/>
  <c r="E43" i="8"/>
  <c r="D43" i="8"/>
  <c r="C43" i="8"/>
  <c r="E42" i="8"/>
  <c r="D42" i="8"/>
  <c r="C42" i="8"/>
  <c r="E40" i="8"/>
  <c r="D40" i="8"/>
  <c r="C40" i="8"/>
  <c r="E39" i="8"/>
  <c r="D39" i="8"/>
  <c r="C39" i="8"/>
  <c r="E37" i="8"/>
  <c r="D37" i="8"/>
  <c r="C37" i="8"/>
  <c r="E36" i="8"/>
  <c r="D36" i="8"/>
  <c r="C36" i="8"/>
  <c r="E35" i="8"/>
  <c r="D35" i="8"/>
  <c r="C35" i="8"/>
  <c r="E34" i="8"/>
  <c r="D34" i="8"/>
  <c r="C34" i="8"/>
  <c r="E33" i="8"/>
  <c r="D33" i="8"/>
  <c r="C33" i="8"/>
  <c r="E32" i="8"/>
  <c r="D32" i="8"/>
  <c r="C32" i="8"/>
  <c r="E31" i="8"/>
  <c r="D31" i="8"/>
  <c r="C31" i="8"/>
  <c r="E30" i="8"/>
  <c r="D30" i="8"/>
  <c r="C30" i="8"/>
  <c r="E29" i="8"/>
  <c r="D29" i="8"/>
  <c r="C29" i="8"/>
  <c r="E28" i="8"/>
  <c r="D28" i="8"/>
  <c r="C28" i="8"/>
  <c r="E26" i="8"/>
  <c r="D26" i="8"/>
  <c r="C26" i="8"/>
  <c r="E25" i="8"/>
  <c r="D25" i="8"/>
  <c r="C25" i="8"/>
  <c r="E24" i="8"/>
  <c r="D24" i="8"/>
  <c r="C24" i="8"/>
  <c r="E23" i="8"/>
  <c r="D23" i="8"/>
  <c r="C23" i="8"/>
  <c r="E22" i="8"/>
  <c r="D22" i="8"/>
  <c r="C22" i="8"/>
  <c r="E21" i="8"/>
  <c r="D21" i="8"/>
  <c r="C21" i="8"/>
  <c r="E20" i="8"/>
  <c r="D20" i="8"/>
  <c r="C20" i="8"/>
  <c r="E19" i="8"/>
  <c r="D19" i="8"/>
  <c r="C19" i="8"/>
  <c r="E18" i="8"/>
  <c r="D18" i="8"/>
  <c r="C18" i="8"/>
  <c r="E17" i="8"/>
  <c r="D17" i="8"/>
  <c r="C17" i="8"/>
  <c r="E16" i="8"/>
  <c r="D16" i="8"/>
  <c r="C16" i="8"/>
  <c r="E15" i="8"/>
  <c r="D15" i="8"/>
  <c r="C15" i="8"/>
  <c r="E14" i="8"/>
  <c r="D14" i="8"/>
  <c r="C14" i="8"/>
  <c r="C8" i="8"/>
  <c r="C6" i="8"/>
  <c r="A5" i="8"/>
  <c r="C4" i="8"/>
  <c r="A4" i="8"/>
  <c r="A3" i="8"/>
  <c r="A2" i="8"/>
  <c r="E312" i="9" l="1"/>
  <c r="E61" i="8"/>
  <c r="E291" i="8"/>
  <c r="E116" i="8"/>
  <c r="E155" i="8"/>
  <c r="C232" i="8"/>
  <c r="C139" i="8"/>
  <c r="C50" i="8"/>
  <c r="C76" i="8"/>
  <c r="E68" i="8"/>
  <c r="E218" i="8"/>
  <c r="C218" i="8"/>
  <c r="F109" i="8"/>
  <c r="E50" i="8"/>
  <c r="C109" i="8"/>
  <c r="C116" i="8"/>
  <c r="C168" i="8"/>
  <c r="E281" i="8"/>
  <c r="E303" i="8"/>
  <c r="E55" i="8"/>
  <c r="E84" i="8"/>
  <c r="D109" i="8"/>
  <c r="E147" i="8"/>
  <c r="C147" i="8"/>
  <c r="C155" i="8"/>
  <c r="C204" i="8"/>
  <c r="C281" i="8"/>
  <c r="C84" i="8"/>
  <c r="E109" i="8"/>
  <c r="E139" i="8"/>
  <c r="E168" i="8"/>
  <c r="E204" i="8"/>
  <c r="E232" i="8"/>
  <c r="C291" i="8"/>
  <c r="E345" i="7"/>
  <c r="E344" i="7"/>
  <c r="E336" i="7"/>
  <c r="E335" i="7"/>
  <c r="C330" i="7"/>
  <c r="C322" i="7"/>
  <c r="E302" i="7"/>
  <c r="D302" i="7"/>
  <c r="C302" i="7"/>
  <c r="E301" i="7"/>
  <c r="D301" i="7"/>
  <c r="C301" i="7"/>
  <c r="E300" i="7"/>
  <c r="D300" i="7"/>
  <c r="C300" i="7"/>
  <c r="E299" i="7"/>
  <c r="D299" i="7"/>
  <c r="C299" i="7"/>
  <c r="E298" i="7"/>
  <c r="D298" i="7"/>
  <c r="C298" i="7"/>
  <c r="E297" i="7"/>
  <c r="D297" i="7"/>
  <c r="C297" i="7"/>
  <c r="E296" i="7"/>
  <c r="D296" i="7"/>
  <c r="C296" i="7"/>
  <c r="E290" i="7"/>
  <c r="D290" i="7"/>
  <c r="C290" i="7"/>
  <c r="E289" i="7"/>
  <c r="D289" i="7"/>
  <c r="C289" i="7"/>
  <c r="E288" i="7"/>
  <c r="D288" i="7"/>
  <c r="C288" i="7"/>
  <c r="E287" i="7"/>
  <c r="D287" i="7"/>
  <c r="C287" i="7"/>
  <c r="E286" i="7"/>
  <c r="D286" i="7"/>
  <c r="C286" i="7"/>
  <c r="E280" i="7"/>
  <c r="D280" i="7"/>
  <c r="C280" i="7"/>
  <c r="E279" i="7"/>
  <c r="D279" i="7"/>
  <c r="C279" i="7"/>
  <c r="E278" i="7"/>
  <c r="D278" i="7"/>
  <c r="C278" i="7"/>
  <c r="E277" i="7"/>
  <c r="D277" i="7"/>
  <c r="C277" i="7"/>
  <c r="E276" i="7"/>
  <c r="D276" i="7"/>
  <c r="C276" i="7"/>
  <c r="E275" i="7"/>
  <c r="D275" i="7"/>
  <c r="C275" i="7"/>
  <c r="E273" i="7"/>
  <c r="D273" i="7"/>
  <c r="C273" i="7"/>
  <c r="E272" i="7"/>
  <c r="D272" i="7"/>
  <c r="C272" i="7"/>
  <c r="E271" i="7"/>
  <c r="D271" i="7"/>
  <c r="C271" i="7"/>
  <c r="E270" i="7"/>
  <c r="D270" i="7"/>
  <c r="C270" i="7"/>
  <c r="E269" i="7"/>
  <c r="D269" i="7"/>
  <c r="C269" i="7"/>
  <c r="E268" i="7"/>
  <c r="D268" i="7"/>
  <c r="C268" i="7"/>
  <c r="E267" i="7"/>
  <c r="D267" i="7"/>
  <c r="C267" i="7"/>
  <c r="E266" i="7"/>
  <c r="D266" i="7"/>
  <c r="C266" i="7"/>
  <c r="E265" i="7"/>
  <c r="D265" i="7"/>
  <c r="C265" i="7"/>
  <c r="E264" i="7"/>
  <c r="D264" i="7"/>
  <c r="C264" i="7"/>
  <c r="E263" i="7"/>
  <c r="D263" i="7"/>
  <c r="C263" i="7"/>
  <c r="E262" i="7"/>
  <c r="D262" i="7"/>
  <c r="C262" i="7"/>
  <c r="E261" i="7"/>
  <c r="D261" i="7"/>
  <c r="C261" i="7"/>
  <c r="E260" i="7"/>
  <c r="D260" i="7"/>
  <c r="C260" i="7"/>
  <c r="E259" i="7"/>
  <c r="D259" i="7"/>
  <c r="C259" i="7"/>
  <c r="E258" i="7"/>
  <c r="D258" i="7"/>
  <c r="C258" i="7"/>
  <c r="E257" i="7"/>
  <c r="D257" i="7"/>
  <c r="C257" i="7"/>
  <c r="E256" i="7"/>
  <c r="D256" i="7"/>
  <c r="C256" i="7"/>
  <c r="E254" i="7"/>
  <c r="D254" i="7"/>
  <c r="C254" i="7"/>
  <c r="E253" i="7"/>
  <c r="D253" i="7"/>
  <c r="C253" i="7"/>
  <c r="E252" i="7"/>
  <c r="D252" i="7"/>
  <c r="C252" i="7"/>
  <c r="E251" i="7"/>
  <c r="D251" i="7"/>
  <c r="C251" i="7"/>
  <c r="E250" i="7"/>
  <c r="D250" i="7"/>
  <c r="C250" i="7"/>
  <c r="E249" i="7"/>
  <c r="D249" i="7"/>
  <c r="C249" i="7"/>
  <c r="E248" i="7"/>
  <c r="D248" i="7"/>
  <c r="C248" i="7"/>
  <c r="E247" i="7"/>
  <c r="D247" i="7"/>
  <c r="C247" i="7"/>
  <c r="E246" i="7"/>
  <c r="D246" i="7"/>
  <c r="C246" i="7"/>
  <c r="E245" i="7"/>
  <c r="D245" i="7"/>
  <c r="C245" i="7"/>
  <c r="E244" i="7"/>
  <c r="D244" i="7"/>
  <c r="C244" i="7"/>
  <c r="E243" i="7"/>
  <c r="D243" i="7"/>
  <c r="C243" i="7"/>
  <c r="E242" i="7"/>
  <c r="D242" i="7"/>
  <c r="C242" i="7"/>
  <c r="E241" i="7"/>
  <c r="D241" i="7"/>
  <c r="C241" i="7"/>
  <c r="E237" i="7"/>
  <c r="C237" i="7"/>
  <c r="E231" i="7"/>
  <c r="D231" i="7"/>
  <c r="C231" i="7"/>
  <c r="E230" i="7"/>
  <c r="D230" i="7"/>
  <c r="C230" i="7"/>
  <c r="C225" i="7"/>
  <c r="E217" i="7"/>
  <c r="D217" i="7"/>
  <c r="C217" i="7"/>
  <c r="E216" i="7"/>
  <c r="C216" i="7"/>
  <c r="E215" i="7"/>
  <c r="D215" i="7"/>
  <c r="C215" i="7"/>
  <c r="E214" i="7"/>
  <c r="D214" i="7"/>
  <c r="C214" i="7"/>
  <c r="E213" i="7"/>
  <c r="D213" i="7"/>
  <c r="C213" i="7"/>
  <c r="E212" i="7"/>
  <c r="D212" i="7"/>
  <c r="C212" i="7"/>
  <c r="E211" i="7"/>
  <c r="D211" i="7"/>
  <c r="C211" i="7"/>
  <c r="E210" i="7"/>
  <c r="D210" i="7"/>
  <c r="C210" i="7"/>
  <c r="E209" i="7"/>
  <c r="D209" i="7"/>
  <c r="C209" i="7"/>
  <c r="E203" i="7"/>
  <c r="D203" i="7"/>
  <c r="C203" i="7"/>
  <c r="E202" i="7"/>
  <c r="D202" i="7"/>
  <c r="C202" i="7"/>
  <c r="E201" i="7"/>
  <c r="D201" i="7"/>
  <c r="C201" i="7"/>
  <c r="E200" i="7"/>
  <c r="D200" i="7"/>
  <c r="C200" i="7"/>
  <c r="E199" i="7"/>
  <c r="D199" i="7"/>
  <c r="C199" i="7"/>
  <c r="E198" i="7"/>
  <c r="D198" i="7"/>
  <c r="C198" i="7"/>
  <c r="E197" i="7"/>
  <c r="D197" i="7"/>
  <c r="C197" i="7"/>
  <c r="E196" i="7"/>
  <c r="D196" i="7"/>
  <c r="C196" i="7"/>
  <c r="E195" i="7"/>
  <c r="D195" i="7"/>
  <c r="C195" i="7"/>
  <c r="E194" i="7"/>
  <c r="D194" i="7"/>
  <c r="C194" i="7"/>
  <c r="E193" i="7"/>
  <c r="D193" i="7"/>
  <c r="C193" i="7"/>
  <c r="E192" i="7"/>
  <c r="D192" i="7"/>
  <c r="C192" i="7"/>
  <c r="E191" i="7"/>
  <c r="D191" i="7"/>
  <c r="C191" i="7"/>
  <c r="E190" i="7"/>
  <c r="D190" i="7"/>
  <c r="C190" i="7"/>
  <c r="E189" i="7"/>
  <c r="D189" i="7"/>
  <c r="C189" i="7"/>
  <c r="E188" i="7"/>
  <c r="D188" i="7"/>
  <c r="C188" i="7"/>
  <c r="E187" i="7"/>
  <c r="D187" i="7"/>
  <c r="C187" i="7"/>
  <c r="E186" i="7"/>
  <c r="D186" i="7"/>
  <c r="C186" i="7"/>
  <c r="E185" i="7"/>
  <c r="D185" i="7"/>
  <c r="C185" i="7"/>
  <c r="E184" i="7"/>
  <c r="D184" i="7"/>
  <c r="C184" i="7"/>
  <c r="E183" i="7"/>
  <c r="D183" i="7"/>
  <c r="C183" i="7"/>
  <c r="E182" i="7"/>
  <c r="D182" i="7"/>
  <c r="C182" i="7"/>
  <c r="E181" i="7"/>
  <c r="D181" i="7"/>
  <c r="C181" i="7"/>
  <c r="E180" i="7"/>
  <c r="D180" i="7"/>
  <c r="C180" i="7"/>
  <c r="E179" i="7"/>
  <c r="D179" i="7"/>
  <c r="C179" i="7"/>
  <c r="E178" i="7"/>
  <c r="D178" i="7"/>
  <c r="C178" i="7"/>
  <c r="E177" i="7"/>
  <c r="D177" i="7"/>
  <c r="C177" i="7"/>
  <c r="E176" i="7"/>
  <c r="D176" i="7"/>
  <c r="C176" i="7"/>
  <c r="E175" i="7"/>
  <c r="D175" i="7"/>
  <c r="C175" i="7"/>
  <c r="E174" i="7"/>
  <c r="D174" i="7"/>
  <c r="C174" i="7"/>
  <c r="E173" i="7"/>
  <c r="D173" i="7"/>
  <c r="C173" i="7"/>
  <c r="E167" i="7"/>
  <c r="D167" i="7"/>
  <c r="C167" i="7"/>
  <c r="E166" i="7"/>
  <c r="D166" i="7"/>
  <c r="C166" i="7"/>
  <c r="E165" i="7"/>
  <c r="D165" i="7"/>
  <c r="C165" i="7"/>
  <c r="E164" i="7"/>
  <c r="D164" i="7"/>
  <c r="C164" i="7"/>
  <c r="E163" i="7"/>
  <c r="D163" i="7"/>
  <c r="C163" i="7"/>
  <c r="E162" i="7"/>
  <c r="D162" i="7"/>
  <c r="C162" i="7"/>
  <c r="E161" i="7"/>
  <c r="D161" i="7"/>
  <c r="C161" i="7"/>
  <c r="E160" i="7"/>
  <c r="D160" i="7"/>
  <c r="C160" i="7"/>
  <c r="E154" i="7"/>
  <c r="D154" i="7"/>
  <c r="C154" i="7"/>
  <c r="E153" i="7"/>
  <c r="D153" i="7"/>
  <c r="C153" i="7"/>
  <c r="E146" i="7"/>
  <c r="D146" i="7"/>
  <c r="C146" i="7"/>
  <c r="E145" i="7"/>
  <c r="D145" i="7"/>
  <c r="C145" i="7"/>
  <c r="E144" i="7"/>
  <c r="D144" i="7"/>
  <c r="C144" i="7"/>
  <c r="E143" i="7"/>
  <c r="D143" i="7"/>
  <c r="C143" i="7"/>
  <c r="E142" i="7"/>
  <c r="D142" i="7"/>
  <c r="C142" i="7"/>
  <c r="E141" i="7"/>
  <c r="D141" i="7"/>
  <c r="C141" i="7"/>
  <c r="E138" i="7"/>
  <c r="D138" i="7"/>
  <c r="C138" i="7"/>
  <c r="E137" i="7"/>
  <c r="D137" i="7"/>
  <c r="C137" i="7"/>
  <c r="E136" i="7"/>
  <c r="D136" i="7"/>
  <c r="C136" i="7"/>
  <c r="E135" i="7"/>
  <c r="D135" i="7"/>
  <c r="C135" i="7"/>
  <c r="E134" i="7"/>
  <c r="D134" i="7"/>
  <c r="C134" i="7"/>
  <c r="E133" i="7"/>
  <c r="D133" i="7"/>
  <c r="C133" i="7"/>
  <c r="E132" i="7"/>
  <c r="D132" i="7"/>
  <c r="C132" i="7"/>
  <c r="E131" i="7"/>
  <c r="D131" i="7"/>
  <c r="C131" i="7"/>
  <c r="E130" i="7"/>
  <c r="D130" i="7"/>
  <c r="C130" i="7"/>
  <c r="E129" i="7"/>
  <c r="D129" i="7"/>
  <c r="C129" i="7"/>
  <c r="E128" i="7"/>
  <c r="D128" i="7"/>
  <c r="C128" i="7"/>
  <c r="E127" i="7"/>
  <c r="D127" i="7"/>
  <c r="C127" i="7"/>
  <c r="E126" i="7"/>
  <c r="D126" i="7"/>
  <c r="C126" i="7"/>
  <c r="C121" i="7"/>
  <c r="E115" i="7"/>
  <c r="D115" i="7"/>
  <c r="C115" i="7"/>
  <c r="E114" i="7"/>
  <c r="D114" i="7"/>
  <c r="C114" i="7"/>
  <c r="F108" i="7"/>
  <c r="E108" i="7"/>
  <c r="D108" i="7"/>
  <c r="C108" i="7"/>
  <c r="F107" i="7"/>
  <c r="E107" i="7"/>
  <c r="D107" i="7"/>
  <c r="C107" i="7"/>
  <c r="F106" i="7"/>
  <c r="E106" i="7"/>
  <c r="D106" i="7"/>
  <c r="C106" i="7"/>
  <c r="F105" i="7"/>
  <c r="E105" i="7"/>
  <c r="D105" i="7"/>
  <c r="C105" i="7"/>
  <c r="F104" i="7"/>
  <c r="E104" i="7"/>
  <c r="D104" i="7"/>
  <c r="C104" i="7"/>
  <c r="F103" i="7"/>
  <c r="E103" i="7"/>
  <c r="D103" i="7"/>
  <c r="C103" i="7"/>
  <c r="F102" i="7"/>
  <c r="E102" i="7"/>
  <c r="D102" i="7"/>
  <c r="C102" i="7"/>
  <c r="F101" i="7"/>
  <c r="E101" i="7"/>
  <c r="D101" i="7"/>
  <c r="C101" i="7"/>
  <c r="F100" i="7"/>
  <c r="E100" i="7"/>
  <c r="D100" i="7"/>
  <c r="C100" i="7"/>
  <c r="F99" i="7"/>
  <c r="E99" i="7"/>
  <c r="D99" i="7"/>
  <c r="C99" i="7"/>
  <c r="F98" i="7"/>
  <c r="E98" i="7"/>
  <c r="D98" i="7"/>
  <c r="C98" i="7"/>
  <c r="F97" i="7"/>
  <c r="E97" i="7"/>
  <c r="D97" i="7"/>
  <c r="C97" i="7"/>
  <c r="F96" i="7"/>
  <c r="E96" i="7"/>
  <c r="D96" i="7"/>
  <c r="C96" i="7"/>
  <c r="F95" i="7"/>
  <c r="E95" i="7"/>
  <c r="D95" i="7"/>
  <c r="C95" i="7"/>
  <c r="F94" i="7"/>
  <c r="E94" i="7"/>
  <c r="D94" i="7"/>
  <c r="C94" i="7"/>
  <c r="F93" i="7"/>
  <c r="E93" i="7"/>
  <c r="D93" i="7"/>
  <c r="C93" i="7"/>
  <c r="F92" i="7"/>
  <c r="E92" i="7"/>
  <c r="D92" i="7"/>
  <c r="C92" i="7"/>
  <c r="F91" i="7"/>
  <c r="E91" i="7"/>
  <c r="D91" i="7"/>
  <c r="C91" i="7"/>
  <c r="F90" i="7"/>
  <c r="E90" i="7"/>
  <c r="D90" i="7"/>
  <c r="C90" i="7"/>
  <c r="E83" i="7"/>
  <c r="C83" i="7"/>
  <c r="E82" i="7"/>
  <c r="C82" i="7"/>
  <c r="E81" i="7"/>
  <c r="C81" i="7"/>
  <c r="E75" i="7"/>
  <c r="C75" i="7"/>
  <c r="E74" i="7"/>
  <c r="C74" i="7"/>
  <c r="E73" i="7"/>
  <c r="C73" i="7"/>
  <c r="E72" i="7"/>
  <c r="C72" i="7"/>
  <c r="E71" i="7"/>
  <c r="C71" i="7"/>
  <c r="E70" i="7"/>
  <c r="C70" i="7"/>
  <c r="E69" i="7"/>
  <c r="C69" i="7"/>
  <c r="C68" i="7"/>
  <c r="E67" i="7"/>
  <c r="C67" i="7"/>
  <c r="E66" i="7"/>
  <c r="C66" i="7"/>
  <c r="E65" i="7"/>
  <c r="C65" i="7"/>
  <c r="E64" i="7"/>
  <c r="C64" i="7"/>
  <c r="E63" i="7"/>
  <c r="C63" i="7"/>
  <c r="E62" i="7"/>
  <c r="C62" i="7"/>
  <c r="C61" i="7"/>
  <c r="E60" i="7"/>
  <c r="C60" i="7"/>
  <c r="E59" i="7"/>
  <c r="C59" i="7"/>
  <c r="E58" i="7"/>
  <c r="C58" i="7"/>
  <c r="E57" i="7"/>
  <c r="C57" i="7"/>
  <c r="E56" i="7"/>
  <c r="C56" i="7"/>
  <c r="C55" i="7"/>
  <c r="E49" i="7"/>
  <c r="D49" i="7"/>
  <c r="C49" i="7"/>
  <c r="E48" i="7"/>
  <c r="D48" i="7"/>
  <c r="C48" i="7"/>
  <c r="E47" i="7"/>
  <c r="D47" i="7"/>
  <c r="C47" i="7"/>
  <c r="E45" i="7"/>
  <c r="D45" i="7"/>
  <c r="C45" i="7"/>
  <c r="E44" i="7"/>
  <c r="D44" i="7"/>
  <c r="C44" i="7"/>
  <c r="E43" i="7"/>
  <c r="D43" i="7"/>
  <c r="C43" i="7"/>
  <c r="E42" i="7"/>
  <c r="D42" i="7"/>
  <c r="C42" i="7"/>
  <c r="E40" i="7"/>
  <c r="D40" i="7"/>
  <c r="C40" i="7"/>
  <c r="E39" i="7"/>
  <c r="D39" i="7"/>
  <c r="C39" i="7"/>
  <c r="E37" i="7"/>
  <c r="D37" i="7"/>
  <c r="C37" i="7"/>
  <c r="E36" i="7"/>
  <c r="D36" i="7"/>
  <c r="C36" i="7"/>
  <c r="E35" i="7"/>
  <c r="D35" i="7"/>
  <c r="C35" i="7"/>
  <c r="E34" i="7"/>
  <c r="D34" i="7"/>
  <c r="C34" i="7"/>
  <c r="E33" i="7"/>
  <c r="D33" i="7"/>
  <c r="C33" i="7"/>
  <c r="E32" i="7"/>
  <c r="D32" i="7"/>
  <c r="C32" i="7"/>
  <c r="E31" i="7"/>
  <c r="D31" i="7"/>
  <c r="C31" i="7"/>
  <c r="E30" i="7"/>
  <c r="D30" i="7"/>
  <c r="C30" i="7"/>
  <c r="E29" i="7"/>
  <c r="D29" i="7"/>
  <c r="C29" i="7"/>
  <c r="E28" i="7"/>
  <c r="D28" i="7"/>
  <c r="C28" i="7"/>
  <c r="E26" i="7"/>
  <c r="D26" i="7"/>
  <c r="C26" i="7"/>
  <c r="E25" i="7"/>
  <c r="D25" i="7"/>
  <c r="C25" i="7"/>
  <c r="E24" i="7"/>
  <c r="D24" i="7"/>
  <c r="C24" i="7"/>
  <c r="E23" i="7"/>
  <c r="D23" i="7"/>
  <c r="C23" i="7"/>
  <c r="E22" i="7"/>
  <c r="D22" i="7"/>
  <c r="C22" i="7"/>
  <c r="E21" i="7"/>
  <c r="D21" i="7"/>
  <c r="C21" i="7"/>
  <c r="E20" i="7"/>
  <c r="D20" i="7"/>
  <c r="C20" i="7"/>
  <c r="E19" i="7"/>
  <c r="D19" i="7"/>
  <c r="C19" i="7"/>
  <c r="E18" i="7"/>
  <c r="D18" i="7"/>
  <c r="C18" i="7"/>
  <c r="E17" i="7"/>
  <c r="D17" i="7"/>
  <c r="C17" i="7"/>
  <c r="E16" i="7"/>
  <c r="D16" i="7"/>
  <c r="C16" i="7"/>
  <c r="E15" i="7"/>
  <c r="D15" i="7"/>
  <c r="C15" i="7"/>
  <c r="E14" i="7"/>
  <c r="D14" i="7"/>
  <c r="C14" i="7"/>
  <c r="C8" i="7"/>
  <c r="C6" i="7"/>
  <c r="A5" i="7"/>
  <c r="C4" i="7"/>
  <c r="A4" i="7"/>
  <c r="A3" i="7"/>
  <c r="A2" i="7"/>
  <c r="E116" i="7" l="1"/>
  <c r="C232" i="7"/>
  <c r="E155" i="7"/>
  <c r="E307" i="8"/>
  <c r="E147" i="7"/>
  <c r="C147" i="7"/>
  <c r="C155" i="7"/>
  <c r="E148" i="8"/>
  <c r="C148" i="8"/>
  <c r="E76" i="8"/>
  <c r="E84" i="7"/>
  <c r="C84" i="7"/>
  <c r="C76" i="7"/>
  <c r="C204" i="7"/>
  <c r="C281" i="7"/>
  <c r="D109" i="7"/>
  <c r="E109" i="7"/>
  <c r="E139" i="7"/>
  <c r="E168" i="7"/>
  <c r="E204" i="7"/>
  <c r="E232" i="7"/>
  <c r="C291" i="7"/>
  <c r="E291" i="7"/>
  <c r="C50" i="7"/>
  <c r="E68" i="7"/>
  <c r="F109" i="7"/>
  <c r="C139" i="7"/>
  <c r="E218" i="7"/>
  <c r="C218" i="7"/>
  <c r="E50" i="7"/>
  <c r="E61" i="7"/>
  <c r="E55" i="7" s="1"/>
  <c r="C109" i="7"/>
  <c r="C116" i="7"/>
  <c r="C168" i="7"/>
  <c r="E281" i="7"/>
  <c r="E303" i="7"/>
  <c r="E345" i="5"/>
  <c r="E344" i="5"/>
  <c r="E336" i="5"/>
  <c r="E335" i="5"/>
  <c r="C322" i="5"/>
  <c r="C330" i="5" s="1"/>
  <c r="E302" i="5"/>
  <c r="D302" i="5"/>
  <c r="C302" i="5"/>
  <c r="E301" i="5"/>
  <c r="D301" i="5"/>
  <c r="C301" i="5"/>
  <c r="E300" i="5"/>
  <c r="D300" i="5"/>
  <c r="C300" i="5"/>
  <c r="E299" i="5"/>
  <c r="D299" i="5"/>
  <c r="C299" i="5"/>
  <c r="E298" i="5"/>
  <c r="D298" i="5"/>
  <c r="C298" i="5"/>
  <c r="E297" i="5"/>
  <c r="D297" i="5"/>
  <c r="C297" i="5"/>
  <c r="E296" i="5"/>
  <c r="D296" i="5"/>
  <c r="C296" i="5"/>
  <c r="E290" i="5"/>
  <c r="D290" i="5"/>
  <c r="C290" i="5"/>
  <c r="E289" i="5"/>
  <c r="D289" i="5"/>
  <c r="C289" i="5"/>
  <c r="E288" i="5"/>
  <c r="D288" i="5"/>
  <c r="C288" i="5"/>
  <c r="E287" i="5"/>
  <c r="D287" i="5"/>
  <c r="C287" i="5"/>
  <c r="E286" i="5"/>
  <c r="D286" i="5"/>
  <c r="C286" i="5"/>
  <c r="E280" i="5"/>
  <c r="D280" i="5"/>
  <c r="C280" i="5"/>
  <c r="E279" i="5"/>
  <c r="D279" i="5"/>
  <c r="C279" i="5"/>
  <c r="E278" i="5"/>
  <c r="D278" i="5"/>
  <c r="C278" i="5"/>
  <c r="E277" i="5"/>
  <c r="D277" i="5"/>
  <c r="C277" i="5"/>
  <c r="E276" i="5"/>
  <c r="D276" i="5"/>
  <c r="C276" i="5"/>
  <c r="E275" i="5"/>
  <c r="D275" i="5"/>
  <c r="C275" i="5"/>
  <c r="E273" i="5"/>
  <c r="D273" i="5"/>
  <c r="C273" i="5"/>
  <c r="E272" i="5"/>
  <c r="D272" i="5"/>
  <c r="C272" i="5"/>
  <c r="E271" i="5"/>
  <c r="D271" i="5"/>
  <c r="C271" i="5"/>
  <c r="E270" i="5"/>
  <c r="D270" i="5"/>
  <c r="C270" i="5"/>
  <c r="E269" i="5"/>
  <c r="D269" i="5"/>
  <c r="C269" i="5"/>
  <c r="E268" i="5"/>
  <c r="D268" i="5"/>
  <c r="C268" i="5"/>
  <c r="E267" i="5"/>
  <c r="D267" i="5"/>
  <c r="C267" i="5"/>
  <c r="E266" i="5"/>
  <c r="D266" i="5"/>
  <c r="C266" i="5"/>
  <c r="E265" i="5"/>
  <c r="D265" i="5"/>
  <c r="C265" i="5"/>
  <c r="E264" i="5"/>
  <c r="D264" i="5"/>
  <c r="C264" i="5"/>
  <c r="E263" i="5"/>
  <c r="D263" i="5"/>
  <c r="C263" i="5"/>
  <c r="E262" i="5"/>
  <c r="D262" i="5"/>
  <c r="C262" i="5"/>
  <c r="E261" i="5"/>
  <c r="D261" i="5"/>
  <c r="C261" i="5"/>
  <c r="E260" i="5"/>
  <c r="D260" i="5"/>
  <c r="C260" i="5"/>
  <c r="E259" i="5"/>
  <c r="D259" i="5"/>
  <c r="C259" i="5"/>
  <c r="E258" i="5"/>
  <c r="D258" i="5"/>
  <c r="C258" i="5"/>
  <c r="E257" i="5"/>
  <c r="D257" i="5"/>
  <c r="C257" i="5"/>
  <c r="E256" i="5"/>
  <c r="D256" i="5"/>
  <c r="C256" i="5"/>
  <c r="E254" i="5"/>
  <c r="D254" i="5"/>
  <c r="C254" i="5"/>
  <c r="E253" i="5"/>
  <c r="D253" i="5"/>
  <c r="C253" i="5"/>
  <c r="E252" i="5"/>
  <c r="D252" i="5"/>
  <c r="C252" i="5"/>
  <c r="E251" i="5"/>
  <c r="D251" i="5"/>
  <c r="C251" i="5"/>
  <c r="E250" i="5"/>
  <c r="D250" i="5"/>
  <c r="C250" i="5"/>
  <c r="E249" i="5"/>
  <c r="D249" i="5"/>
  <c r="C249" i="5"/>
  <c r="E248" i="5"/>
  <c r="D248" i="5"/>
  <c r="C248" i="5"/>
  <c r="E247" i="5"/>
  <c r="D247" i="5"/>
  <c r="C247" i="5"/>
  <c r="E246" i="5"/>
  <c r="D246" i="5"/>
  <c r="C246" i="5"/>
  <c r="E245" i="5"/>
  <c r="D245" i="5"/>
  <c r="C245" i="5"/>
  <c r="E244" i="5"/>
  <c r="D244" i="5"/>
  <c r="C244" i="5"/>
  <c r="E243" i="5"/>
  <c r="D243" i="5"/>
  <c r="C243" i="5"/>
  <c r="E242" i="5"/>
  <c r="D242" i="5"/>
  <c r="C242" i="5"/>
  <c r="E241" i="5"/>
  <c r="D241" i="5"/>
  <c r="C241" i="5"/>
  <c r="E237" i="5"/>
  <c r="C237" i="5"/>
  <c r="E231" i="5"/>
  <c r="D231" i="5"/>
  <c r="C231" i="5"/>
  <c r="E230" i="5"/>
  <c r="D230" i="5"/>
  <c r="C230" i="5"/>
  <c r="C225" i="5"/>
  <c r="E217" i="5"/>
  <c r="D217" i="5"/>
  <c r="C217" i="5"/>
  <c r="E216" i="5"/>
  <c r="C216" i="5"/>
  <c r="E215" i="5"/>
  <c r="D215" i="5"/>
  <c r="C215" i="5"/>
  <c r="E214" i="5"/>
  <c r="D214" i="5"/>
  <c r="C214" i="5"/>
  <c r="E213" i="5"/>
  <c r="D213" i="5"/>
  <c r="C213" i="5"/>
  <c r="E212" i="5"/>
  <c r="D212" i="5"/>
  <c r="C212" i="5"/>
  <c r="E211" i="5"/>
  <c r="D211" i="5"/>
  <c r="C211" i="5"/>
  <c r="E210" i="5"/>
  <c r="D210" i="5"/>
  <c r="C210" i="5"/>
  <c r="E209" i="5"/>
  <c r="D209" i="5"/>
  <c r="C209" i="5"/>
  <c r="E203" i="5"/>
  <c r="D203" i="5"/>
  <c r="C203" i="5"/>
  <c r="E202" i="5"/>
  <c r="D202" i="5"/>
  <c r="C202" i="5"/>
  <c r="E201" i="5"/>
  <c r="D201" i="5"/>
  <c r="C201" i="5"/>
  <c r="E200" i="5"/>
  <c r="D200" i="5"/>
  <c r="C200" i="5"/>
  <c r="E199" i="5"/>
  <c r="D199" i="5"/>
  <c r="C199" i="5"/>
  <c r="E198" i="5"/>
  <c r="D198" i="5"/>
  <c r="C198" i="5"/>
  <c r="E197" i="5"/>
  <c r="D197" i="5"/>
  <c r="C197" i="5"/>
  <c r="E196" i="5"/>
  <c r="D196" i="5"/>
  <c r="C196" i="5"/>
  <c r="E195" i="5"/>
  <c r="D195" i="5"/>
  <c r="C195" i="5"/>
  <c r="E194" i="5"/>
  <c r="D194" i="5"/>
  <c r="C194" i="5"/>
  <c r="E193" i="5"/>
  <c r="D193" i="5"/>
  <c r="C193" i="5"/>
  <c r="E192" i="5"/>
  <c r="D192" i="5"/>
  <c r="C192" i="5"/>
  <c r="E191" i="5"/>
  <c r="D191" i="5"/>
  <c r="C191" i="5"/>
  <c r="E190" i="5"/>
  <c r="D190" i="5"/>
  <c r="C190" i="5"/>
  <c r="E189" i="5"/>
  <c r="D189" i="5"/>
  <c r="C189" i="5"/>
  <c r="E188" i="5"/>
  <c r="D188" i="5"/>
  <c r="C188" i="5"/>
  <c r="E187" i="5"/>
  <c r="D187" i="5"/>
  <c r="C187" i="5"/>
  <c r="E186" i="5"/>
  <c r="D186" i="5"/>
  <c r="C186" i="5"/>
  <c r="E185" i="5"/>
  <c r="D185" i="5"/>
  <c r="C185" i="5"/>
  <c r="E184" i="5"/>
  <c r="D184" i="5"/>
  <c r="C184" i="5"/>
  <c r="E183" i="5"/>
  <c r="D183" i="5"/>
  <c r="C183" i="5"/>
  <c r="E182" i="5"/>
  <c r="D182" i="5"/>
  <c r="C182" i="5"/>
  <c r="E181" i="5"/>
  <c r="D181" i="5"/>
  <c r="C181" i="5"/>
  <c r="E180" i="5"/>
  <c r="D180" i="5"/>
  <c r="C180" i="5"/>
  <c r="E179" i="5"/>
  <c r="D179" i="5"/>
  <c r="C179" i="5"/>
  <c r="E178" i="5"/>
  <c r="D178" i="5"/>
  <c r="C178" i="5"/>
  <c r="E177" i="5"/>
  <c r="D177" i="5"/>
  <c r="C177" i="5"/>
  <c r="E176" i="5"/>
  <c r="D176" i="5"/>
  <c r="C176" i="5"/>
  <c r="E175" i="5"/>
  <c r="D175" i="5"/>
  <c r="C175" i="5"/>
  <c r="E174" i="5"/>
  <c r="D174" i="5"/>
  <c r="C174" i="5"/>
  <c r="E173" i="5"/>
  <c r="D173" i="5"/>
  <c r="C173" i="5"/>
  <c r="E167" i="5"/>
  <c r="D167" i="5"/>
  <c r="C167" i="5"/>
  <c r="E166" i="5"/>
  <c r="D166" i="5"/>
  <c r="C166" i="5"/>
  <c r="E165" i="5"/>
  <c r="D165" i="5"/>
  <c r="C165" i="5"/>
  <c r="E164" i="5"/>
  <c r="D164" i="5"/>
  <c r="C164" i="5"/>
  <c r="E163" i="5"/>
  <c r="D163" i="5"/>
  <c r="C163" i="5"/>
  <c r="E162" i="5"/>
  <c r="D162" i="5"/>
  <c r="C162" i="5"/>
  <c r="E161" i="5"/>
  <c r="D161" i="5"/>
  <c r="C161" i="5"/>
  <c r="E160" i="5"/>
  <c r="D160" i="5"/>
  <c r="C160" i="5"/>
  <c r="E154" i="5"/>
  <c r="D154" i="5"/>
  <c r="C154" i="5"/>
  <c r="E153" i="5"/>
  <c r="D153" i="5"/>
  <c r="C153" i="5"/>
  <c r="E146" i="5"/>
  <c r="D146" i="5"/>
  <c r="C146" i="5"/>
  <c r="E145" i="5"/>
  <c r="D145" i="5"/>
  <c r="C145" i="5"/>
  <c r="E144" i="5"/>
  <c r="D144" i="5"/>
  <c r="C144" i="5"/>
  <c r="E143" i="5"/>
  <c r="D143" i="5"/>
  <c r="C143" i="5"/>
  <c r="E142" i="5"/>
  <c r="D142" i="5"/>
  <c r="C142" i="5"/>
  <c r="E141" i="5"/>
  <c r="D141" i="5"/>
  <c r="C141" i="5"/>
  <c r="E138" i="5"/>
  <c r="D138" i="5"/>
  <c r="C138" i="5"/>
  <c r="E137" i="5"/>
  <c r="D137" i="5"/>
  <c r="C137" i="5"/>
  <c r="E136" i="5"/>
  <c r="D136" i="5"/>
  <c r="C136" i="5"/>
  <c r="E135" i="5"/>
  <c r="D135" i="5"/>
  <c r="C135" i="5"/>
  <c r="E134" i="5"/>
  <c r="D134" i="5"/>
  <c r="C134" i="5"/>
  <c r="E133" i="5"/>
  <c r="D133" i="5"/>
  <c r="C133" i="5"/>
  <c r="E132" i="5"/>
  <c r="D132" i="5"/>
  <c r="C132" i="5"/>
  <c r="E131" i="5"/>
  <c r="D131" i="5"/>
  <c r="C131" i="5"/>
  <c r="E130" i="5"/>
  <c r="D130" i="5"/>
  <c r="C130" i="5"/>
  <c r="E129" i="5"/>
  <c r="D129" i="5"/>
  <c r="C129" i="5"/>
  <c r="E128" i="5"/>
  <c r="D128" i="5"/>
  <c r="C128" i="5"/>
  <c r="E127" i="5"/>
  <c r="D127" i="5"/>
  <c r="C127" i="5"/>
  <c r="E126" i="5"/>
  <c r="D126" i="5"/>
  <c r="C126" i="5"/>
  <c r="C121" i="5"/>
  <c r="E115" i="5"/>
  <c r="D115" i="5"/>
  <c r="C115" i="5"/>
  <c r="E114" i="5"/>
  <c r="D114" i="5"/>
  <c r="C114" i="5"/>
  <c r="F108" i="5"/>
  <c r="E108" i="5"/>
  <c r="D108" i="5"/>
  <c r="C108" i="5"/>
  <c r="F107" i="5"/>
  <c r="E107" i="5"/>
  <c r="D107" i="5"/>
  <c r="C107" i="5"/>
  <c r="F106" i="5"/>
  <c r="E106" i="5"/>
  <c r="D106" i="5"/>
  <c r="C106" i="5"/>
  <c r="F105" i="5"/>
  <c r="E105" i="5"/>
  <c r="D105" i="5"/>
  <c r="C105" i="5"/>
  <c r="F104" i="5"/>
  <c r="E104" i="5"/>
  <c r="D104" i="5"/>
  <c r="C104" i="5"/>
  <c r="F103" i="5"/>
  <c r="E103" i="5"/>
  <c r="D103" i="5"/>
  <c r="C103" i="5"/>
  <c r="F102" i="5"/>
  <c r="E102" i="5"/>
  <c r="D102" i="5"/>
  <c r="C102" i="5"/>
  <c r="F101" i="5"/>
  <c r="E101" i="5"/>
  <c r="D101" i="5"/>
  <c r="C101" i="5"/>
  <c r="F100" i="5"/>
  <c r="E100" i="5"/>
  <c r="D100" i="5"/>
  <c r="C100" i="5"/>
  <c r="F99" i="5"/>
  <c r="E99" i="5"/>
  <c r="D99" i="5"/>
  <c r="C99" i="5"/>
  <c r="F98" i="5"/>
  <c r="E98" i="5"/>
  <c r="D98" i="5"/>
  <c r="C98" i="5"/>
  <c r="F97" i="5"/>
  <c r="E97" i="5"/>
  <c r="D97" i="5"/>
  <c r="C97" i="5"/>
  <c r="F96" i="5"/>
  <c r="E96" i="5"/>
  <c r="D96" i="5"/>
  <c r="C96" i="5"/>
  <c r="F95" i="5"/>
  <c r="E95" i="5"/>
  <c r="D95" i="5"/>
  <c r="C95" i="5"/>
  <c r="F94" i="5"/>
  <c r="E94" i="5"/>
  <c r="D94" i="5"/>
  <c r="C94" i="5"/>
  <c r="F93" i="5"/>
  <c r="E93" i="5"/>
  <c r="D93" i="5"/>
  <c r="C93" i="5"/>
  <c r="F92" i="5"/>
  <c r="E92" i="5"/>
  <c r="D92" i="5"/>
  <c r="C92" i="5"/>
  <c r="F91" i="5"/>
  <c r="E91" i="5"/>
  <c r="D91" i="5"/>
  <c r="C91" i="5"/>
  <c r="F90" i="5"/>
  <c r="E90" i="5"/>
  <c r="D90" i="5"/>
  <c r="C90" i="5"/>
  <c r="E83" i="5"/>
  <c r="C83" i="5"/>
  <c r="E82" i="5"/>
  <c r="C82" i="5"/>
  <c r="E81" i="5"/>
  <c r="C81" i="5"/>
  <c r="E75" i="5"/>
  <c r="C75" i="5"/>
  <c r="E74" i="5"/>
  <c r="C74" i="5"/>
  <c r="E73" i="5"/>
  <c r="C73" i="5"/>
  <c r="E72" i="5"/>
  <c r="C72" i="5"/>
  <c r="E71" i="5"/>
  <c r="C71" i="5"/>
  <c r="E70" i="5"/>
  <c r="C70" i="5"/>
  <c r="E69" i="5"/>
  <c r="C69" i="5"/>
  <c r="C68" i="5"/>
  <c r="E67" i="5"/>
  <c r="C67" i="5"/>
  <c r="E66" i="5"/>
  <c r="C66" i="5"/>
  <c r="E65" i="5"/>
  <c r="C65" i="5"/>
  <c r="E64" i="5"/>
  <c r="C64" i="5"/>
  <c r="E63" i="5"/>
  <c r="C63" i="5"/>
  <c r="E62" i="5"/>
  <c r="C62" i="5"/>
  <c r="C61" i="5"/>
  <c r="E60" i="5"/>
  <c r="C60" i="5"/>
  <c r="E59" i="5"/>
  <c r="C59" i="5"/>
  <c r="E58" i="5"/>
  <c r="C58" i="5"/>
  <c r="E57" i="5"/>
  <c r="C57" i="5"/>
  <c r="E56" i="5"/>
  <c r="C56" i="5"/>
  <c r="C55" i="5"/>
  <c r="E49" i="5"/>
  <c r="D49" i="5"/>
  <c r="C49" i="5"/>
  <c r="E48" i="5"/>
  <c r="D48" i="5"/>
  <c r="C48" i="5"/>
  <c r="E47" i="5"/>
  <c r="D47" i="5"/>
  <c r="C47" i="5"/>
  <c r="E45" i="5"/>
  <c r="D45" i="5"/>
  <c r="C45" i="5"/>
  <c r="E44" i="5"/>
  <c r="D44" i="5"/>
  <c r="C44" i="5"/>
  <c r="E43" i="5"/>
  <c r="D43" i="5"/>
  <c r="C43" i="5"/>
  <c r="E42" i="5"/>
  <c r="D42" i="5"/>
  <c r="C42" i="5"/>
  <c r="E40" i="5"/>
  <c r="D40" i="5"/>
  <c r="C40" i="5"/>
  <c r="E39" i="5"/>
  <c r="D39" i="5"/>
  <c r="C39" i="5"/>
  <c r="E37" i="5"/>
  <c r="D37" i="5"/>
  <c r="C37" i="5"/>
  <c r="E36" i="5"/>
  <c r="D36" i="5"/>
  <c r="C36" i="5"/>
  <c r="E35" i="5"/>
  <c r="D35" i="5"/>
  <c r="C35" i="5"/>
  <c r="E34" i="5"/>
  <c r="D34" i="5"/>
  <c r="C34" i="5"/>
  <c r="E33" i="5"/>
  <c r="D33" i="5"/>
  <c r="C33" i="5"/>
  <c r="E32" i="5"/>
  <c r="D32" i="5"/>
  <c r="C32" i="5"/>
  <c r="E31" i="5"/>
  <c r="D31" i="5"/>
  <c r="C31" i="5"/>
  <c r="E30" i="5"/>
  <c r="D30" i="5"/>
  <c r="C30" i="5"/>
  <c r="E29" i="5"/>
  <c r="D29" i="5"/>
  <c r="C29" i="5"/>
  <c r="E28" i="5"/>
  <c r="D28" i="5"/>
  <c r="C28" i="5"/>
  <c r="E26" i="5"/>
  <c r="D26" i="5"/>
  <c r="C26" i="5"/>
  <c r="E25" i="5"/>
  <c r="D25" i="5"/>
  <c r="C25" i="5"/>
  <c r="E24" i="5"/>
  <c r="D24" i="5"/>
  <c r="C24" i="5"/>
  <c r="E23" i="5"/>
  <c r="D23" i="5"/>
  <c r="C23" i="5"/>
  <c r="E22" i="5"/>
  <c r="D22" i="5"/>
  <c r="C22" i="5"/>
  <c r="E21" i="5"/>
  <c r="D21" i="5"/>
  <c r="C21" i="5"/>
  <c r="E20" i="5"/>
  <c r="D20" i="5"/>
  <c r="C20" i="5"/>
  <c r="E19" i="5"/>
  <c r="D19" i="5"/>
  <c r="C19" i="5"/>
  <c r="E18" i="5"/>
  <c r="D18" i="5"/>
  <c r="C18" i="5"/>
  <c r="E17" i="5"/>
  <c r="D17" i="5"/>
  <c r="C17" i="5"/>
  <c r="E16" i="5"/>
  <c r="D16" i="5"/>
  <c r="C16" i="5"/>
  <c r="E15" i="5"/>
  <c r="D15" i="5"/>
  <c r="C15" i="5"/>
  <c r="E14" i="5"/>
  <c r="D14" i="5"/>
  <c r="C14" i="5"/>
  <c r="C8" i="5"/>
  <c r="C6" i="5"/>
  <c r="A5" i="5"/>
  <c r="C4" i="5"/>
  <c r="A4" i="5"/>
  <c r="A3" i="5"/>
  <c r="A2" i="5"/>
  <c r="E312" i="8" l="1"/>
  <c r="C148" i="7"/>
  <c r="E61" i="5"/>
  <c r="E55" i="5" s="1"/>
  <c r="C84" i="5"/>
  <c r="E116" i="5"/>
  <c r="C139" i="5"/>
  <c r="E155" i="5"/>
  <c r="C168" i="5"/>
  <c r="C204" i="5"/>
  <c r="E218" i="5"/>
  <c r="C232" i="5"/>
  <c r="E76" i="7"/>
  <c r="C76" i="5"/>
  <c r="E84" i="5"/>
  <c r="E148" i="7"/>
  <c r="E307" i="7"/>
  <c r="E109" i="5"/>
  <c r="E139" i="5"/>
  <c r="E168" i="5"/>
  <c r="C281" i="5"/>
  <c r="C109" i="5"/>
  <c r="C116" i="5"/>
  <c r="E147" i="5"/>
  <c r="C147" i="5"/>
  <c r="C155" i="5"/>
  <c r="E204" i="5"/>
  <c r="E232" i="5"/>
  <c r="C50" i="5"/>
  <c r="F109" i="5"/>
  <c r="C218" i="5"/>
  <c r="E50" i="5"/>
  <c r="E68" i="5"/>
  <c r="D109" i="5"/>
  <c r="E281" i="5"/>
  <c r="C291" i="5"/>
  <c r="E291" i="5"/>
  <c r="E303" i="5"/>
  <c r="C148" i="5" l="1"/>
  <c r="E148" i="5"/>
  <c r="E307" i="5"/>
  <c r="E312" i="7"/>
  <c r="E76" i="5"/>
  <c r="E345" i="4"/>
  <c r="E344" i="4"/>
  <c r="E336" i="4"/>
  <c r="E335" i="4"/>
  <c r="C330" i="4"/>
  <c r="C322" i="4"/>
  <c r="E302" i="4"/>
  <c r="D302" i="4"/>
  <c r="C302" i="4"/>
  <c r="E301" i="4"/>
  <c r="D301" i="4"/>
  <c r="C301" i="4"/>
  <c r="E300" i="4"/>
  <c r="D300" i="4"/>
  <c r="C300" i="4"/>
  <c r="E299" i="4"/>
  <c r="D299" i="4"/>
  <c r="C299" i="4"/>
  <c r="E298" i="4"/>
  <c r="D298" i="4"/>
  <c r="C298" i="4"/>
  <c r="E297" i="4"/>
  <c r="D297" i="4"/>
  <c r="C297" i="4"/>
  <c r="E296" i="4"/>
  <c r="D296" i="4"/>
  <c r="C296" i="4"/>
  <c r="E290" i="4"/>
  <c r="D290" i="4"/>
  <c r="C290" i="4"/>
  <c r="E289" i="4"/>
  <c r="D289" i="4"/>
  <c r="C289" i="4"/>
  <c r="E288" i="4"/>
  <c r="D288" i="4"/>
  <c r="C288" i="4"/>
  <c r="E287" i="4"/>
  <c r="D287" i="4"/>
  <c r="C287" i="4"/>
  <c r="E286" i="4"/>
  <c r="D286" i="4"/>
  <c r="C286" i="4"/>
  <c r="E280" i="4"/>
  <c r="D280" i="4"/>
  <c r="C280" i="4"/>
  <c r="E279" i="4"/>
  <c r="D279" i="4"/>
  <c r="C279" i="4"/>
  <c r="E278" i="4"/>
  <c r="D278" i="4"/>
  <c r="C278" i="4"/>
  <c r="E277" i="4"/>
  <c r="D277" i="4"/>
  <c r="C277" i="4"/>
  <c r="E276" i="4"/>
  <c r="D276" i="4"/>
  <c r="C276" i="4"/>
  <c r="E275" i="4"/>
  <c r="D275" i="4"/>
  <c r="C275" i="4"/>
  <c r="E273" i="4"/>
  <c r="D273" i="4"/>
  <c r="C273" i="4"/>
  <c r="E272" i="4"/>
  <c r="D272" i="4"/>
  <c r="C272" i="4"/>
  <c r="E271" i="4"/>
  <c r="D271" i="4"/>
  <c r="C271" i="4"/>
  <c r="E270" i="4"/>
  <c r="D270" i="4"/>
  <c r="C270" i="4"/>
  <c r="E269" i="4"/>
  <c r="D269" i="4"/>
  <c r="C269" i="4"/>
  <c r="E268" i="4"/>
  <c r="D268" i="4"/>
  <c r="C268" i="4"/>
  <c r="E267" i="4"/>
  <c r="D267" i="4"/>
  <c r="C267" i="4"/>
  <c r="E266" i="4"/>
  <c r="D266" i="4"/>
  <c r="C266" i="4"/>
  <c r="E265" i="4"/>
  <c r="D265" i="4"/>
  <c r="C265" i="4"/>
  <c r="E264" i="4"/>
  <c r="D264" i="4"/>
  <c r="C264" i="4"/>
  <c r="E263" i="4"/>
  <c r="D263" i="4"/>
  <c r="C263" i="4"/>
  <c r="E262" i="4"/>
  <c r="D262" i="4"/>
  <c r="C262" i="4"/>
  <c r="E261" i="4"/>
  <c r="D261" i="4"/>
  <c r="C261" i="4"/>
  <c r="E260" i="4"/>
  <c r="D260" i="4"/>
  <c r="C260" i="4"/>
  <c r="E259" i="4"/>
  <c r="D259" i="4"/>
  <c r="C259" i="4"/>
  <c r="E258" i="4"/>
  <c r="D258" i="4"/>
  <c r="C258" i="4"/>
  <c r="E257" i="4"/>
  <c r="D257" i="4"/>
  <c r="C257" i="4"/>
  <c r="E256" i="4"/>
  <c r="D256" i="4"/>
  <c r="C256" i="4"/>
  <c r="E254" i="4"/>
  <c r="D254" i="4"/>
  <c r="C254" i="4"/>
  <c r="E253" i="4"/>
  <c r="D253" i="4"/>
  <c r="C253" i="4"/>
  <c r="E252" i="4"/>
  <c r="D252" i="4"/>
  <c r="C252" i="4"/>
  <c r="E251" i="4"/>
  <c r="D251" i="4"/>
  <c r="C251" i="4"/>
  <c r="E250" i="4"/>
  <c r="D250" i="4"/>
  <c r="C250" i="4"/>
  <c r="E249" i="4"/>
  <c r="D249" i="4"/>
  <c r="C249" i="4"/>
  <c r="E248" i="4"/>
  <c r="D248" i="4"/>
  <c r="C248" i="4"/>
  <c r="E247" i="4"/>
  <c r="D247" i="4"/>
  <c r="C247" i="4"/>
  <c r="E246" i="4"/>
  <c r="D246" i="4"/>
  <c r="C246" i="4"/>
  <c r="E245" i="4"/>
  <c r="D245" i="4"/>
  <c r="C245" i="4"/>
  <c r="E244" i="4"/>
  <c r="D244" i="4"/>
  <c r="C244" i="4"/>
  <c r="E243" i="4"/>
  <c r="D243" i="4"/>
  <c r="C243" i="4"/>
  <c r="E242" i="4"/>
  <c r="D242" i="4"/>
  <c r="C242" i="4"/>
  <c r="E241" i="4"/>
  <c r="D241" i="4"/>
  <c r="C241" i="4"/>
  <c r="E237" i="4"/>
  <c r="C237" i="4"/>
  <c r="E231" i="4"/>
  <c r="D231" i="4"/>
  <c r="C231" i="4"/>
  <c r="E230" i="4"/>
  <c r="D230" i="4"/>
  <c r="C230" i="4"/>
  <c r="C225" i="4"/>
  <c r="E217" i="4"/>
  <c r="D217" i="4"/>
  <c r="C217" i="4"/>
  <c r="E216" i="4"/>
  <c r="C216" i="4"/>
  <c r="E215" i="4"/>
  <c r="D215" i="4"/>
  <c r="C215" i="4"/>
  <c r="E214" i="4"/>
  <c r="D214" i="4"/>
  <c r="C214" i="4"/>
  <c r="E213" i="4"/>
  <c r="D213" i="4"/>
  <c r="C213" i="4"/>
  <c r="E212" i="4"/>
  <c r="D212" i="4"/>
  <c r="C212" i="4"/>
  <c r="E211" i="4"/>
  <c r="D211" i="4"/>
  <c r="C211" i="4"/>
  <c r="E210" i="4"/>
  <c r="D210" i="4"/>
  <c r="C210" i="4"/>
  <c r="E209" i="4"/>
  <c r="D209" i="4"/>
  <c r="C209" i="4"/>
  <c r="E203" i="4"/>
  <c r="D203" i="4"/>
  <c r="C203" i="4"/>
  <c r="E202" i="4"/>
  <c r="D202" i="4"/>
  <c r="C202" i="4"/>
  <c r="E201" i="4"/>
  <c r="D201" i="4"/>
  <c r="C201" i="4"/>
  <c r="E200" i="4"/>
  <c r="D200" i="4"/>
  <c r="C200" i="4"/>
  <c r="E199" i="4"/>
  <c r="D199" i="4"/>
  <c r="C199" i="4"/>
  <c r="E198" i="4"/>
  <c r="D198" i="4"/>
  <c r="C198" i="4"/>
  <c r="E197" i="4"/>
  <c r="D197" i="4"/>
  <c r="C197" i="4"/>
  <c r="E196" i="4"/>
  <c r="D196" i="4"/>
  <c r="C196" i="4"/>
  <c r="E195" i="4"/>
  <c r="D195" i="4"/>
  <c r="C195" i="4"/>
  <c r="E194" i="4"/>
  <c r="D194" i="4"/>
  <c r="C194" i="4"/>
  <c r="E193" i="4"/>
  <c r="D193" i="4"/>
  <c r="C193" i="4"/>
  <c r="E192" i="4"/>
  <c r="D192" i="4"/>
  <c r="C192" i="4"/>
  <c r="E191" i="4"/>
  <c r="D191" i="4"/>
  <c r="C191" i="4"/>
  <c r="E190" i="4"/>
  <c r="D190" i="4"/>
  <c r="C190" i="4"/>
  <c r="E189" i="4"/>
  <c r="D189" i="4"/>
  <c r="C189" i="4"/>
  <c r="E188" i="4"/>
  <c r="D188" i="4"/>
  <c r="C188" i="4"/>
  <c r="E187" i="4"/>
  <c r="D187" i="4"/>
  <c r="C187" i="4"/>
  <c r="E186" i="4"/>
  <c r="D186" i="4"/>
  <c r="C186" i="4"/>
  <c r="E185" i="4"/>
  <c r="D185" i="4"/>
  <c r="C185" i="4"/>
  <c r="E184" i="4"/>
  <c r="D184" i="4"/>
  <c r="C184" i="4"/>
  <c r="E183" i="4"/>
  <c r="D183" i="4"/>
  <c r="C183" i="4"/>
  <c r="E182" i="4"/>
  <c r="D182" i="4"/>
  <c r="C182" i="4"/>
  <c r="E181" i="4"/>
  <c r="D181" i="4"/>
  <c r="C181" i="4"/>
  <c r="E180" i="4"/>
  <c r="D180" i="4"/>
  <c r="C180" i="4"/>
  <c r="E179" i="4"/>
  <c r="D179" i="4"/>
  <c r="C179" i="4"/>
  <c r="E178" i="4"/>
  <c r="D178" i="4"/>
  <c r="C178" i="4"/>
  <c r="E177" i="4"/>
  <c r="D177" i="4"/>
  <c r="C177" i="4"/>
  <c r="E176" i="4"/>
  <c r="D176" i="4"/>
  <c r="C176" i="4"/>
  <c r="E175" i="4"/>
  <c r="D175" i="4"/>
  <c r="C175" i="4"/>
  <c r="E174" i="4"/>
  <c r="D174" i="4"/>
  <c r="C174" i="4"/>
  <c r="E173" i="4"/>
  <c r="D173" i="4"/>
  <c r="C173" i="4"/>
  <c r="E167" i="4"/>
  <c r="D167" i="4"/>
  <c r="C167" i="4"/>
  <c r="E166" i="4"/>
  <c r="D166" i="4"/>
  <c r="C166" i="4"/>
  <c r="E165" i="4"/>
  <c r="D165" i="4"/>
  <c r="C165" i="4"/>
  <c r="E164" i="4"/>
  <c r="D164" i="4"/>
  <c r="C164" i="4"/>
  <c r="E163" i="4"/>
  <c r="D163" i="4"/>
  <c r="C163" i="4"/>
  <c r="E162" i="4"/>
  <c r="D162" i="4"/>
  <c r="C162" i="4"/>
  <c r="E161" i="4"/>
  <c r="D161" i="4"/>
  <c r="C161" i="4"/>
  <c r="E160" i="4"/>
  <c r="D160" i="4"/>
  <c r="C160" i="4"/>
  <c r="E154" i="4"/>
  <c r="D154" i="4"/>
  <c r="C154" i="4"/>
  <c r="E153" i="4"/>
  <c r="D153" i="4"/>
  <c r="C153" i="4"/>
  <c r="E146" i="4"/>
  <c r="D146" i="4"/>
  <c r="C146" i="4"/>
  <c r="E145" i="4"/>
  <c r="D145" i="4"/>
  <c r="C145" i="4"/>
  <c r="E144" i="4"/>
  <c r="D144" i="4"/>
  <c r="C144" i="4"/>
  <c r="E143" i="4"/>
  <c r="D143" i="4"/>
  <c r="C143" i="4"/>
  <c r="E142" i="4"/>
  <c r="D142" i="4"/>
  <c r="C142" i="4"/>
  <c r="E141" i="4"/>
  <c r="D141" i="4"/>
  <c r="C141" i="4"/>
  <c r="E138" i="4"/>
  <c r="D138" i="4"/>
  <c r="C138" i="4"/>
  <c r="E137" i="4"/>
  <c r="D137" i="4"/>
  <c r="C137" i="4"/>
  <c r="E136" i="4"/>
  <c r="D136" i="4"/>
  <c r="C136" i="4"/>
  <c r="E135" i="4"/>
  <c r="D135" i="4"/>
  <c r="C135" i="4"/>
  <c r="E134" i="4"/>
  <c r="D134" i="4"/>
  <c r="C134" i="4"/>
  <c r="E133" i="4"/>
  <c r="D133" i="4"/>
  <c r="C133" i="4"/>
  <c r="E132" i="4"/>
  <c r="D132" i="4"/>
  <c r="C132" i="4"/>
  <c r="E131" i="4"/>
  <c r="D131" i="4"/>
  <c r="C131" i="4"/>
  <c r="E130" i="4"/>
  <c r="D130" i="4"/>
  <c r="C130" i="4"/>
  <c r="E129" i="4"/>
  <c r="D129" i="4"/>
  <c r="C129" i="4"/>
  <c r="E128" i="4"/>
  <c r="D128" i="4"/>
  <c r="C128" i="4"/>
  <c r="E127" i="4"/>
  <c r="D127" i="4"/>
  <c r="C127" i="4"/>
  <c r="E126" i="4"/>
  <c r="D126" i="4"/>
  <c r="C126" i="4"/>
  <c r="C121" i="4"/>
  <c r="E115" i="4"/>
  <c r="D115" i="4"/>
  <c r="C115" i="4"/>
  <c r="E114" i="4"/>
  <c r="D114" i="4"/>
  <c r="C114" i="4"/>
  <c r="F108" i="4"/>
  <c r="E108" i="4"/>
  <c r="D108" i="4"/>
  <c r="C108" i="4"/>
  <c r="F107" i="4"/>
  <c r="E107" i="4"/>
  <c r="D107" i="4"/>
  <c r="C107" i="4"/>
  <c r="F106" i="4"/>
  <c r="E106" i="4"/>
  <c r="D106" i="4"/>
  <c r="C106" i="4"/>
  <c r="F105" i="4"/>
  <c r="E105" i="4"/>
  <c r="D105" i="4"/>
  <c r="C105" i="4"/>
  <c r="F104" i="4"/>
  <c r="E104" i="4"/>
  <c r="D104" i="4"/>
  <c r="C104" i="4"/>
  <c r="F103" i="4"/>
  <c r="E103" i="4"/>
  <c r="D103" i="4"/>
  <c r="C103" i="4"/>
  <c r="F102" i="4"/>
  <c r="E102" i="4"/>
  <c r="D102" i="4"/>
  <c r="C102" i="4"/>
  <c r="F101" i="4"/>
  <c r="E101" i="4"/>
  <c r="D101" i="4"/>
  <c r="C101" i="4"/>
  <c r="F100" i="4"/>
  <c r="E100" i="4"/>
  <c r="D100" i="4"/>
  <c r="C100" i="4"/>
  <c r="F99" i="4"/>
  <c r="E99" i="4"/>
  <c r="D99" i="4"/>
  <c r="C99" i="4"/>
  <c r="F98" i="4"/>
  <c r="E98" i="4"/>
  <c r="D98" i="4"/>
  <c r="C98" i="4"/>
  <c r="F97" i="4"/>
  <c r="E97" i="4"/>
  <c r="D97" i="4"/>
  <c r="C97" i="4"/>
  <c r="F96" i="4"/>
  <c r="E96" i="4"/>
  <c r="D96" i="4"/>
  <c r="C96" i="4"/>
  <c r="F95" i="4"/>
  <c r="E95" i="4"/>
  <c r="D95" i="4"/>
  <c r="C95" i="4"/>
  <c r="F94" i="4"/>
  <c r="E94" i="4"/>
  <c r="D94" i="4"/>
  <c r="C94" i="4"/>
  <c r="F93" i="4"/>
  <c r="E93" i="4"/>
  <c r="D93" i="4"/>
  <c r="C93" i="4"/>
  <c r="F92" i="4"/>
  <c r="E92" i="4"/>
  <c r="D92" i="4"/>
  <c r="C92" i="4"/>
  <c r="F91" i="4"/>
  <c r="E91" i="4"/>
  <c r="D91" i="4"/>
  <c r="C91" i="4"/>
  <c r="F90" i="4"/>
  <c r="E90" i="4"/>
  <c r="D90" i="4"/>
  <c r="C90" i="4"/>
  <c r="E83" i="4"/>
  <c r="C83" i="4"/>
  <c r="E82" i="4"/>
  <c r="C82" i="4"/>
  <c r="E81" i="4"/>
  <c r="C81" i="4"/>
  <c r="E75" i="4"/>
  <c r="C75" i="4"/>
  <c r="E74" i="4"/>
  <c r="C74" i="4"/>
  <c r="E73" i="4"/>
  <c r="C73" i="4"/>
  <c r="E72" i="4"/>
  <c r="C72" i="4"/>
  <c r="E71" i="4"/>
  <c r="C71" i="4"/>
  <c r="E70" i="4"/>
  <c r="C70" i="4"/>
  <c r="E69" i="4"/>
  <c r="C69" i="4"/>
  <c r="C68" i="4"/>
  <c r="E67" i="4"/>
  <c r="C67" i="4"/>
  <c r="E66" i="4"/>
  <c r="C66" i="4"/>
  <c r="E65" i="4"/>
  <c r="C65" i="4"/>
  <c r="E64" i="4"/>
  <c r="C64" i="4"/>
  <c r="E63" i="4"/>
  <c r="C63" i="4"/>
  <c r="E62" i="4"/>
  <c r="C62" i="4"/>
  <c r="C61" i="4"/>
  <c r="E60" i="4"/>
  <c r="C60" i="4"/>
  <c r="E59" i="4"/>
  <c r="C59" i="4"/>
  <c r="E58" i="4"/>
  <c r="C58" i="4"/>
  <c r="E57" i="4"/>
  <c r="C57" i="4"/>
  <c r="E56" i="4"/>
  <c r="C56" i="4"/>
  <c r="C55" i="4"/>
  <c r="E49" i="4"/>
  <c r="D49" i="4"/>
  <c r="C49" i="4"/>
  <c r="E48" i="4"/>
  <c r="D48" i="4"/>
  <c r="C48" i="4"/>
  <c r="E47" i="4"/>
  <c r="D47" i="4"/>
  <c r="C47" i="4"/>
  <c r="E45" i="4"/>
  <c r="D45" i="4"/>
  <c r="C45" i="4"/>
  <c r="E44" i="4"/>
  <c r="D44" i="4"/>
  <c r="C44" i="4"/>
  <c r="E43" i="4"/>
  <c r="D43" i="4"/>
  <c r="C43" i="4"/>
  <c r="E42" i="4"/>
  <c r="D42" i="4"/>
  <c r="C42" i="4"/>
  <c r="E40" i="4"/>
  <c r="D40" i="4"/>
  <c r="C40" i="4"/>
  <c r="E39" i="4"/>
  <c r="D39" i="4"/>
  <c r="C39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E32" i="4"/>
  <c r="D32" i="4"/>
  <c r="C32" i="4"/>
  <c r="E31" i="4"/>
  <c r="D31" i="4"/>
  <c r="C31" i="4"/>
  <c r="E30" i="4"/>
  <c r="D30" i="4"/>
  <c r="C30" i="4"/>
  <c r="E29" i="4"/>
  <c r="D29" i="4"/>
  <c r="C29" i="4"/>
  <c r="E28" i="4"/>
  <c r="D28" i="4"/>
  <c r="C28" i="4"/>
  <c r="E26" i="4"/>
  <c r="D26" i="4"/>
  <c r="C26" i="4"/>
  <c r="E25" i="4"/>
  <c r="D25" i="4"/>
  <c r="C25" i="4"/>
  <c r="E24" i="4"/>
  <c r="D24" i="4"/>
  <c r="C24" i="4"/>
  <c r="E23" i="4"/>
  <c r="D23" i="4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E18" i="4"/>
  <c r="D18" i="4"/>
  <c r="C18" i="4"/>
  <c r="E17" i="4"/>
  <c r="D17" i="4"/>
  <c r="C17" i="4"/>
  <c r="E16" i="4"/>
  <c r="D16" i="4"/>
  <c r="C16" i="4"/>
  <c r="E15" i="4"/>
  <c r="D15" i="4"/>
  <c r="C15" i="4"/>
  <c r="E14" i="4"/>
  <c r="D14" i="4"/>
  <c r="C14" i="4"/>
  <c r="C8" i="4"/>
  <c r="C6" i="4"/>
  <c r="A5" i="4"/>
  <c r="C4" i="4"/>
  <c r="A4" i="4"/>
  <c r="A3" i="4"/>
  <c r="A2" i="4"/>
  <c r="E312" i="5" l="1"/>
  <c r="E116" i="4"/>
  <c r="E155" i="4"/>
  <c r="C232" i="4"/>
  <c r="C76" i="4"/>
  <c r="C204" i="4"/>
  <c r="C281" i="4"/>
  <c r="C147" i="4"/>
  <c r="C155" i="4"/>
  <c r="E84" i="4"/>
  <c r="E147" i="4"/>
  <c r="C84" i="4"/>
  <c r="E68" i="4"/>
  <c r="F109" i="4"/>
  <c r="C139" i="4"/>
  <c r="E218" i="4"/>
  <c r="C218" i="4"/>
  <c r="D109" i="4"/>
  <c r="E109" i="4"/>
  <c r="E139" i="4"/>
  <c r="E168" i="4"/>
  <c r="E204" i="4"/>
  <c r="E232" i="4"/>
  <c r="C291" i="4"/>
  <c r="E291" i="4"/>
  <c r="C50" i="4"/>
  <c r="E50" i="4"/>
  <c r="E61" i="4"/>
  <c r="C109" i="4"/>
  <c r="C116" i="4"/>
  <c r="C168" i="4"/>
  <c r="E281" i="4"/>
  <c r="E303" i="4"/>
  <c r="C329" i="2"/>
  <c r="C328" i="2"/>
  <c r="C327" i="2"/>
  <c r="C326" i="2"/>
  <c r="C325" i="2"/>
  <c r="C324" i="2"/>
  <c r="C323" i="2"/>
  <c r="C322" i="2"/>
  <c r="C321" i="2"/>
  <c r="C320" i="2"/>
  <c r="C319" i="2"/>
  <c r="C318" i="2"/>
  <c r="C224" i="2"/>
  <c r="C223" i="2"/>
  <c r="E140" i="2"/>
  <c r="G140" i="2" s="1"/>
  <c r="H140" i="2" s="1"/>
  <c r="I140" i="2" s="1"/>
  <c r="J140" i="2" s="1"/>
  <c r="E345" i="1"/>
  <c r="E344" i="1"/>
  <c r="E336" i="1"/>
  <c r="E335" i="1"/>
  <c r="C322" i="1"/>
  <c r="C330" i="1" s="1"/>
  <c r="E302" i="1"/>
  <c r="D302" i="1"/>
  <c r="C302" i="1"/>
  <c r="E301" i="1"/>
  <c r="D301" i="1"/>
  <c r="C301" i="1"/>
  <c r="E300" i="1"/>
  <c r="D300" i="1"/>
  <c r="C300" i="1"/>
  <c r="E299" i="1"/>
  <c r="D299" i="1"/>
  <c r="C299" i="1"/>
  <c r="E298" i="1"/>
  <c r="D298" i="1"/>
  <c r="C298" i="1"/>
  <c r="E297" i="1"/>
  <c r="D297" i="1"/>
  <c r="C297" i="1"/>
  <c r="E296" i="1"/>
  <c r="D296" i="1"/>
  <c r="C296" i="1"/>
  <c r="E290" i="1"/>
  <c r="D290" i="1"/>
  <c r="C290" i="1"/>
  <c r="E289" i="1"/>
  <c r="D289" i="1"/>
  <c r="C289" i="1"/>
  <c r="E288" i="1"/>
  <c r="D288" i="1"/>
  <c r="C288" i="1"/>
  <c r="E287" i="1"/>
  <c r="D287" i="1"/>
  <c r="C287" i="1"/>
  <c r="E286" i="1"/>
  <c r="D286" i="1"/>
  <c r="C286" i="1"/>
  <c r="E280" i="1"/>
  <c r="D280" i="1"/>
  <c r="C280" i="1"/>
  <c r="E279" i="1"/>
  <c r="D279" i="1"/>
  <c r="C279" i="1"/>
  <c r="E278" i="1"/>
  <c r="D278" i="1"/>
  <c r="C278" i="1"/>
  <c r="E277" i="1"/>
  <c r="D277" i="1"/>
  <c r="C277" i="1"/>
  <c r="E276" i="1"/>
  <c r="D276" i="1"/>
  <c r="C276" i="1"/>
  <c r="E275" i="1"/>
  <c r="D275" i="1"/>
  <c r="C275" i="1"/>
  <c r="E273" i="1"/>
  <c r="D273" i="1"/>
  <c r="C273" i="1"/>
  <c r="E272" i="1"/>
  <c r="D272" i="1"/>
  <c r="C272" i="1"/>
  <c r="E271" i="1"/>
  <c r="D271" i="1"/>
  <c r="C271" i="1"/>
  <c r="E270" i="1"/>
  <c r="D270" i="1"/>
  <c r="C270" i="1"/>
  <c r="E269" i="1"/>
  <c r="D269" i="1"/>
  <c r="C269" i="1"/>
  <c r="E268" i="1"/>
  <c r="D268" i="1"/>
  <c r="C268" i="1"/>
  <c r="E267" i="1"/>
  <c r="D267" i="1"/>
  <c r="C267" i="1"/>
  <c r="E266" i="1"/>
  <c r="D266" i="1"/>
  <c r="C266" i="1"/>
  <c r="E265" i="1"/>
  <c r="D265" i="1"/>
  <c r="C265" i="1"/>
  <c r="E264" i="1"/>
  <c r="D264" i="1"/>
  <c r="C264" i="1"/>
  <c r="E263" i="1"/>
  <c r="D263" i="1"/>
  <c r="C263" i="1"/>
  <c r="E262" i="1"/>
  <c r="D262" i="1"/>
  <c r="C262" i="1"/>
  <c r="E261" i="1"/>
  <c r="D261" i="1"/>
  <c r="C261" i="1"/>
  <c r="E260" i="1"/>
  <c r="D260" i="1"/>
  <c r="C260" i="1"/>
  <c r="E259" i="1"/>
  <c r="D259" i="1"/>
  <c r="C259" i="1"/>
  <c r="E258" i="1"/>
  <c r="D258" i="1"/>
  <c r="C258" i="1"/>
  <c r="E257" i="1"/>
  <c r="D257" i="1"/>
  <c r="C257" i="1"/>
  <c r="E256" i="1"/>
  <c r="D256" i="1"/>
  <c r="C256" i="1"/>
  <c r="E254" i="1"/>
  <c r="D254" i="1"/>
  <c r="C254" i="1"/>
  <c r="E253" i="1"/>
  <c r="D253" i="1"/>
  <c r="C253" i="1"/>
  <c r="E252" i="1"/>
  <c r="D252" i="1"/>
  <c r="C252" i="1"/>
  <c r="E251" i="1"/>
  <c r="D251" i="1"/>
  <c r="C251" i="1"/>
  <c r="E250" i="1"/>
  <c r="D250" i="1"/>
  <c r="C250" i="1"/>
  <c r="E249" i="1"/>
  <c r="D249" i="1"/>
  <c r="C249" i="1"/>
  <c r="E248" i="1"/>
  <c r="D248" i="1"/>
  <c r="C248" i="1"/>
  <c r="E247" i="1"/>
  <c r="D247" i="1"/>
  <c r="C247" i="1"/>
  <c r="E246" i="1"/>
  <c r="D246" i="1"/>
  <c r="C246" i="1"/>
  <c r="E245" i="1"/>
  <c r="D245" i="1"/>
  <c r="C245" i="1"/>
  <c r="E244" i="1"/>
  <c r="D244" i="1"/>
  <c r="C244" i="1"/>
  <c r="E243" i="1"/>
  <c r="D243" i="1"/>
  <c r="C243" i="1"/>
  <c r="E242" i="1"/>
  <c r="D242" i="1"/>
  <c r="C242" i="1"/>
  <c r="E241" i="1"/>
  <c r="D241" i="1"/>
  <c r="C241" i="1"/>
  <c r="E237" i="1"/>
  <c r="C237" i="1"/>
  <c r="E231" i="1"/>
  <c r="E232" i="1" s="1"/>
  <c r="D231" i="1"/>
  <c r="C231" i="1"/>
  <c r="E230" i="1"/>
  <c r="D230" i="1"/>
  <c r="C230" i="1"/>
  <c r="C225" i="1"/>
  <c r="E217" i="1"/>
  <c r="D217" i="1"/>
  <c r="C217" i="1"/>
  <c r="E216" i="1"/>
  <c r="C216" i="1"/>
  <c r="E215" i="1"/>
  <c r="D215" i="1"/>
  <c r="C215" i="1"/>
  <c r="E214" i="1"/>
  <c r="D214" i="1"/>
  <c r="C214" i="1"/>
  <c r="E213" i="1"/>
  <c r="D213" i="1"/>
  <c r="C213" i="1"/>
  <c r="E212" i="1"/>
  <c r="D212" i="1"/>
  <c r="C212" i="1"/>
  <c r="E211" i="1"/>
  <c r="D211" i="1"/>
  <c r="C211" i="1"/>
  <c r="E210" i="1"/>
  <c r="D210" i="1"/>
  <c r="C210" i="1"/>
  <c r="E209" i="1"/>
  <c r="D209" i="1"/>
  <c r="C209" i="1"/>
  <c r="E203" i="1"/>
  <c r="D203" i="1"/>
  <c r="C203" i="1"/>
  <c r="E202" i="1"/>
  <c r="D202" i="1"/>
  <c r="C202" i="1"/>
  <c r="E201" i="1"/>
  <c r="D201" i="1"/>
  <c r="C201" i="1"/>
  <c r="E200" i="1"/>
  <c r="D200" i="1"/>
  <c r="C200" i="1"/>
  <c r="E199" i="1"/>
  <c r="D199" i="1"/>
  <c r="C199" i="1"/>
  <c r="E198" i="1"/>
  <c r="D198" i="1"/>
  <c r="C198" i="1"/>
  <c r="E197" i="1"/>
  <c r="D197" i="1"/>
  <c r="C197" i="1"/>
  <c r="E196" i="1"/>
  <c r="D196" i="1"/>
  <c r="C196" i="1"/>
  <c r="E195" i="1"/>
  <c r="D195" i="1"/>
  <c r="C195" i="1"/>
  <c r="E194" i="1"/>
  <c r="D194" i="1"/>
  <c r="C194" i="1"/>
  <c r="E193" i="1"/>
  <c r="D193" i="1"/>
  <c r="C193" i="1"/>
  <c r="E192" i="1"/>
  <c r="D192" i="1"/>
  <c r="C192" i="1"/>
  <c r="E191" i="1"/>
  <c r="D191" i="1"/>
  <c r="C191" i="1"/>
  <c r="E190" i="1"/>
  <c r="D190" i="1"/>
  <c r="C190" i="1"/>
  <c r="E189" i="1"/>
  <c r="D189" i="1"/>
  <c r="C189" i="1"/>
  <c r="E188" i="1"/>
  <c r="D188" i="1"/>
  <c r="C188" i="1"/>
  <c r="E187" i="1"/>
  <c r="D187" i="1"/>
  <c r="C187" i="1"/>
  <c r="E186" i="1"/>
  <c r="D186" i="1"/>
  <c r="C186" i="1"/>
  <c r="E185" i="1"/>
  <c r="D185" i="1"/>
  <c r="C185" i="1"/>
  <c r="E184" i="1"/>
  <c r="D184" i="1"/>
  <c r="C184" i="1"/>
  <c r="E183" i="1"/>
  <c r="D183" i="1"/>
  <c r="C183" i="1"/>
  <c r="E182" i="1"/>
  <c r="D182" i="1"/>
  <c r="C182" i="1"/>
  <c r="E181" i="1"/>
  <c r="D181" i="1"/>
  <c r="C181" i="1"/>
  <c r="E180" i="1"/>
  <c r="D180" i="1"/>
  <c r="C180" i="1"/>
  <c r="E179" i="1"/>
  <c r="D179" i="1"/>
  <c r="C179" i="1"/>
  <c r="E178" i="1"/>
  <c r="D178" i="1"/>
  <c r="C178" i="1"/>
  <c r="E177" i="1"/>
  <c r="D177" i="1"/>
  <c r="C177" i="1"/>
  <c r="E176" i="1"/>
  <c r="D176" i="1"/>
  <c r="C176" i="1"/>
  <c r="E175" i="1"/>
  <c r="D175" i="1"/>
  <c r="C175" i="1"/>
  <c r="E174" i="1"/>
  <c r="D174" i="1"/>
  <c r="C174" i="1"/>
  <c r="E173" i="1"/>
  <c r="D173" i="1"/>
  <c r="C173" i="1"/>
  <c r="E167" i="1"/>
  <c r="D167" i="1"/>
  <c r="C167" i="1"/>
  <c r="E166" i="1"/>
  <c r="D166" i="1"/>
  <c r="C166" i="1"/>
  <c r="E165" i="1"/>
  <c r="D165" i="1"/>
  <c r="C165" i="1"/>
  <c r="E164" i="1"/>
  <c r="D164" i="1"/>
  <c r="C164" i="1"/>
  <c r="E163" i="1"/>
  <c r="D163" i="1"/>
  <c r="C163" i="1"/>
  <c r="E162" i="1"/>
  <c r="D162" i="1"/>
  <c r="C162" i="1"/>
  <c r="E161" i="1"/>
  <c r="D161" i="1"/>
  <c r="C161" i="1"/>
  <c r="E160" i="1"/>
  <c r="D160" i="1"/>
  <c r="C160" i="1"/>
  <c r="E154" i="1"/>
  <c r="D154" i="1"/>
  <c r="C154" i="1"/>
  <c r="E153" i="1"/>
  <c r="D153" i="1"/>
  <c r="C153" i="1"/>
  <c r="E146" i="1"/>
  <c r="D146" i="1"/>
  <c r="C146" i="1"/>
  <c r="E145" i="1"/>
  <c r="D145" i="1"/>
  <c r="C145" i="1"/>
  <c r="E144" i="1"/>
  <c r="D144" i="1"/>
  <c r="C144" i="1"/>
  <c r="E143" i="1"/>
  <c r="D143" i="1"/>
  <c r="C143" i="1"/>
  <c r="E142" i="1"/>
  <c r="D142" i="1"/>
  <c r="C142" i="1"/>
  <c r="E141" i="1"/>
  <c r="D141" i="1"/>
  <c r="C141" i="1"/>
  <c r="E138" i="1"/>
  <c r="D138" i="1"/>
  <c r="C138" i="1"/>
  <c r="E137" i="1"/>
  <c r="D137" i="1"/>
  <c r="C137" i="1"/>
  <c r="E136" i="1"/>
  <c r="D136" i="1"/>
  <c r="C136" i="1"/>
  <c r="E135" i="1"/>
  <c r="D135" i="1"/>
  <c r="C135" i="1"/>
  <c r="E134" i="1"/>
  <c r="D134" i="1"/>
  <c r="C134" i="1"/>
  <c r="E133" i="1"/>
  <c r="D133" i="1"/>
  <c r="C133" i="1"/>
  <c r="E132" i="1"/>
  <c r="D132" i="1"/>
  <c r="C132" i="1"/>
  <c r="E131" i="1"/>
  <c r="D131" i="1"/>
  <c r="C131" i="1"/>
  <c r="E130" i="1"/>
  <c r="D130" i="1"/>
  <c r="C130" i="1"/>
  <c r="E129" i="1"/>
  <c r="D129" i="1"/>
  <c r="C129" i="1"/>
  <c r="E128" i="1"/>
  <c r="D128" i="1"/>
  <c r="C128" i="1"/>
  <c r="E127" i="1"/>
  <c r="D127" i="1"/>
  <c r="C127" i="1"/>
  <c r="E126" i="1"/>
  <c r="D126" i="1"/>
  <c r="C126" i="1"/>
  <c r="C121" i="1"/>
  <c r="E115" i="1"/>
  <c r="D115" i="1"/>
  <c r="C115" i="1"/>
  <c r="C116" i="1" s="1"/>
  <c r="E114" i="1"/>
  <c r="D114" i="1"/>
  <c r="C114" i="1"/>
  <c r="F108" i="1"/>
  <c r="E108" i="1"/>
  <c r="D108" i="1"/>
  <c r="C108" i="1"/>
  <c r="F107" i="1"/>
  <c r="E107" i="1"/>
  <c r="D107" i="1"/>
  <c r="C107" i="1"/>
  <c r="F106" i="1"/>
  <c r="E106" i="1"/>
  <c r="D106" i="1"/>
  <c r="C106" i="1"/>
  <c r="F105" i="1"/>
  <c r="E105" i="1"/>
  <c r="D105" i="1"/>
  <c r="C105" i="1"/>
  <c r="F104" i="1"/>
  <c r="E104" i="1"/>
  <c r="D104" i="1"/>
  <c r="C104" i="1"/>
  <c r="F103" i="1"/>
  <c r="E103" i="1"/>
  <c r="D103" i="1"/>
  <c r="C103" i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F95" i="1"/>
  <c r="E95" i="1"/>
  <c r="D95" i="1"/>
  <c r="C95" i="1"/>
  <c r="F94" i="1"/>
  <c r="E94" i="1"/>
  <c r="D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E83" i="1"/>
  <c r="C83" i="1"/>
  <c r="E82" i="1"/>
  <c r="C82" i="1"/>
  <c r="E81" i="1"/>
  <c r="C81" i="1"/>
  <c r="E75" i="1"/>
  <c r="C75" i="1"/>
  <c r="E74" i="1"/>
  <c r="C74" i="1"/>
  <c r="E73" i="1"/>
  <c r="C73" i="1"/>
  <c r="E72" i="1"/>
  <c r="C72" i="1"/>
  <c r="E71" i="1"/>
  <c r="C71" i="1"/>
  <c r="E70" i="1"/>
  <c r="C70" i="1"/>
  <c r="E69" i="1"/>
  <c r="C69" i="1"/>
  <c r="E68" i="1"/>
  <c r="C68" i="1"/>
  <c r="E67" i="1"/>
  <c r="C67" i="1"/>
  <c r="E66" i="1"/>
  <c r="C66" i="1"/>
  <c r="E65" i="1"/>
  <c r="C65" i="1"/>
  <c r="E64" i="1"/>
  <c r="C64" i="1"/>
  <c r="E63" i="1"/>
  <c r="C63" i="1"/>
  <c r="E62" i="1"/>
  <c r="C62" i="1"/>
  <c r="C61" i="1"/>
  <c r="E60" i="1"/>
  <c r="C60" i="1"/>
  <c r="E59" i="1"/>
  <c r="C59" i="1"/>
  <c r="E58" i="1"/>
  <c r="C58" i="1"/>
  <c r="E57" i="1"/>
  <c r="C57" i="1"/>
  <c r="E56" i="1"/>
  <c r="C56" i="1"/>
  <c r="C55" i="1"/>
  <c r="E49" i="1"/>
  <c r="D49" i="1"/>
  <c r="C49" i="1"/>
  <c r="E48" i="1"/>
  <c r="D48" i="1"/>
  <c r="C48" i="1"/>
  <c r="E47" i="1"/>
  <c r="D47" i="1"/>
  <c r="C47" i="1"/>
  <c r="E45" i="1"/>
  <c r="D45" i="1"/>
  <c r="C45" i="1"/>
  <c r="E44" i="1"/>
  <c r="D44" i="1"/>
  <c r="C44" i="1"/>
  <c r="E43" i="1"/>
  <c r="D43" i="1"/>
  <c r="C43" i="1"/>
  <c r="E42" i="1"/>
  <c r="D42" i="1"/>
  <c r="C42" i="1"/>
  <c r="E40" i="1"/>
  <c r="D40" i="1"/>
  <c r="C40" i="1"/>
  <c r="E39" i="1"/>
  <c r="D39" i="1"/>
  <c r="C39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C8" i="1"/>
  <c r="C6" i="1"/>
  <c r="A5" i="1"/>
  <c r="C4" i="1"/>
  <c r="A4" i="1"/>
  <c r="A3" i="1"/>
  <c r="A2" i="1"/>
  <c r="E345" i="3"/>
  <c r="E344" i="3"/>
  <c r="E336" i="3"/>
  <c r="E335" i="3"/>
  <c r="C322" i="3"/>
  <c r="C330" i="3" s="1"/>
  <c r="E302" i="3"/>
  <c r="D302" i="3"/>
  <c r="C302" i="3"/>
  <c r="E301" i="3"/>
  <c r="D301" i="3"/>
  <c r="C301" i="3"/>
  <c r="E300" i="3"/>
  <c r="D300" i="3"/>
  <c r="C300" i="3"/>
  <c r="E299" i="3"/>
  <c r="D299" i="3"/>
  <c r="C299" i="3"/>
  <c r="E298" i="3"/>
  <c r="D298" i="3"/>
  <c r="C298" i="3"/>
  <c r="E297" i="3"/>
  <c r="D297" i="3"/>
  <c r="C297" i="3"/>
  <c r="E296" i="3"/>
  <c r="D296" i="3"/>
  <c r="C296" i="3"/>
  <c r="E290" i="3"/>
  <c r="D290" i="3"/>
  <c r="C290" i="3"/>
  <c r="E289" i="3"/>
  <c r="D289" i="3"/>
  <c r="C289" i="3"/>
  <c r="E288" i="3"/>
  <c r="D288" i="3"/>
  <c r="C288" i="3"/>
  <c r="E287" i="3"/>
  <c r="D287" i="3"/>
  <c r="C287" i="3"/>
  <c r="E286" i="3"/>
  <c r="D286" i="3"/>
  <c r="C286" i="3"/>
  <c r="E280" i="3"/>
  <c r="D280" i="3"/>
  <c r="C280" i="3"/>
  <c r="E279" i="3"/>
  <c r="D279" i="3"/>
  <c r="C279" i="3"/>
  <c r="E278" i="3"/>
  <c r="D278" i="3"/>
  <c r="C278" i="3"/>
  <c r="E277" i="3"/>
  <c r="D277" i="3"/>
  <c r="C277" i="3"/>
  <c r="E276" i="3"/>
  <c r="D276" i="3"/>
  <c r="C276" i="3"/>
  <c r="E275" i="3"/>
  <c r="D275" i="3"/>
  <c r="C275" i="3"/>
  <c r="E273" i="3"/>
  <c r="D273" i="3"/>
  <c r="C273" i="3"/>
  <c r="E272" i="3"/>
  <c r="D272" i="3"/>
  <c r="C272" i="3"/>
  <c r="E271" i="3"/>
  <c r="D271" i="3"/>
  <c r="C271" i="3"/>
  <c r="E270" i="3"/>
  <c r="D270" i="3"/>
  <c r="C270" i="3"/>
  <c r="E269" i="3"/>
  <c r="D269" i="3"/>
  <c r="C269" i="3"/>
  <c r="E268" i="3"/>
  <c r="D268" i="3"/>
  <c r="C268" i="3"/>
  <c r="E267" i="3"/>
  <c r="D267" i="3"/>
  <c r="C267" i="3"/>
  <c r="E266" i="3"/>
  <c r="D266" i="3"/>
  <c r="C266" i="3"/>
  <c r="E265" i="3"/>
  <c r="D265" i="3"/>
  <c r="C265" i="3"/>
  <c r="E264" i="3"/>
  <c r="D264" i="3"/>
  <c r="C264" i="3"/>
  <c r="E263" i="3"/>
  <c r="D263" i="3"/>
  <c r="C263" i="3"/>
  <c r="E262" i="3"/>
  <c r="D262" i="3"/>
  <c r="C262" i="3"/>
  <c r="E261" i="3"/>
  <c r="D261" i="3"/>
  <c r="C261" i="3"/>
  <c r="E260" i="3"/>
  <c r="D260" i="3"/>
  <c r="C260" i="3"/>
  <c r="E259" i="3"/>
  <c r="D259" i="3"/>
  <c r="C259" i="3"/>
  <c r="E258" i="3"/>
  <c r="D258" i="3"/>
  <c r="C258" i="3"/>
  <c r="E257" i="3"/>
  <c r="D257" i="3"/>
  <c r="C257" i="3"/>
  <c r="E256" i="3"/>
  <c r="D256" i="3"/>
  <c r="C256" i="3"/>
  <c r="E254" i="3"/>
  <c r="D254" i="3"/>
  <c r="C254" i="3"/>
  <c r="E253" i="3"/>
  <c r="D253" i="3"/>
  <c r="C253" i="3"/>
  <c r="E252" i="3"/>
  <c r="D252" i="3"/>
  <c r="C252" i="3"/>
  <c r="E251" i="3"/>
  <c r="D251" i="3"/>
  <c r="C251" i="3"/>
  <c r="E250" i="3"/>
  <c r="D250" i="3"/>
  <c r="C250" i="3"/>
  <c r="E249" i="3"/>
  <c r="D249" i="3"/>
  <c r="C249" i="3"/>
  <c r="E248" i="3"/>
  <c r="D248" i="3"/>
  <c r="C248" i="3"/>
  <c r="E247" i="3"/>
  <c r="D247" i="3"/>
  <c r="C247" i="3"/>
  <c r="E246" i="3"/>
  <c r="D246" i="3"/>
  <c r="C246" i="3"/>
  <c r="E245" i="3"/>
  <c r="D245" i="3"/>
  <c r="C245" i="3"/>
  <c r="E244" i="3"/>
  <c r="D244" i="3"/>
  <c r="C244" i="3"/>
  <c r="E243" i="3"/>
  <c r="D243" i="3"/>
  <c r="C243" i="3"/>
  <c r="E242" i="3"/>
  <c r="D242" i="3"/>
  <c r="C242" i="3"/>
  <c r="E241" i="3"/>
  <c r="D241" i="3"/>
  <c r="C241" i="3"/>
  <c r="E237" i="3"/>
  <c r="C237" i="3"/>
  <c r="E231" i="3"/>
  <c r="D231" i="3"/>
  <c r="C231" i="3"/>
  <c r="E230" i="3"/>
  <c r="D230" i="3"/>
  <c r="C230" i="3"/>
  <c r="C225" i="3"/>
  <c r="E217" i="3"/>
  <c r="D217" i="3"/>
  <c r="C217" i="3"/>
  <c r="E216" i="3"/>
  <c r="C216" i="3"/>
  <c r="E215" i="3"/>
  <c r="D215" i="3"/>
  <c r="C215" i="3"/>
  <c r="E214" i="3"/>
  <c r="D214" i="3"/>
  <c r="C214" i="3"/>
  <c r="E213" i="3"/>
  <c r="D213" i="3"/>
  <c r="C213" i="3"/>
  <c r="E212" i="3"/>
  <c r="D212" i="3"/>
  <c r="C212" i="3"/>
  <c r="E211" i="3"/>
  <c r="D211" i="3"/>
  <c r="C211" i="3"/>
  <c r="E210" i="3"/>
  <c r="D210" i="3"/>
  <c r="C210" i="3"/>
  <c r="E209" i="3"/>
  <c r="D209" i="3"/>
  <c r="C209" i="3"/>
  <c r="E203" i="3"/>
  <c r="D203" i="3"/>
  <c r="C203" i="3"/>
  <c r="E202" i="3"/>
  <c r="D202" i="3"/>
  <c r="C202" i="3"/>
  <c r="E201" i="3"/>
  <c r="D201" i="3"/>
  <c r="C201" i="3"/>
  <c r="E200" i="3"/>
  <c r="D200" i="3"/>
  <c r="C200" i="3"/>
  <c r="E199" i="3"/>
  <c r="D199" i="3"/>
  <c r="C199" i="3"/>
  <c r="E198" i="3"/>
  <c r="D198" i="3"/>
  <c r="C198" i="3"/>
  <c r="E197" i="3"/>
  <c r="D197" i="3"/>
  <c r="C197" i="3"/>
  <c r="E196" i="3"/>
  <c r="D196" i="3"/>
  <c r="C196" i="3"/>
  <c r="E195" i="3"/>
  <c r="D195" i="3"/>
  <c r="C195" i="3"/>
  <c r="E194" i="3"/>
  <c r="D194" i="3"/>
  <c r="C194" i="3"/>
  <c r="E193" i="3"/>
  <c r="D193" i="3"/>
  <c r="C193" i="3"/>
  <c r="E192" i="3"/>
  <c r="D192" i="3"/>
  <c r="C192" i="3"/>
  <c r="E191" i="3"/>
  <c r="D191" i="3"/>
  <c r="C191" i="3"/>
  <c r="E190" i="3"/>
  <c r="D190" i="3"/>
  <c r="C190" i="3"/>
  <c r="E189" i="3"/>
  <c r="D189" i="3"/>
  <c r="C189" i="3"/>
  <c r="E188" i="3"/>
  <c r="D188" i="3"/>
  <c r="C188" i="3"/>
  <c r="E187" i="3"/>
  <c r="D187" i="3"/>
  <c r="C187" i="3"/>
  <c r="E186" i="3"/>
  <c r="D186" i="3"/>
  <c r="C186" i="3"/>
  <c r="E185" i="3"/>
  <c r="D185" i="3"/>
  <c r="C185" i="3"/>
  <c r="E184" i="3"/>
  <c r="D184" i="3"/>
  <c r="C184" i="3"/>
  <c r="E183" i="3"/>
  <c r="D183" i="3"/>
  <c r="C183" i="3"/>
  <c r="E182" i="3"/>
  <c r="D182" i="3"/>
  <c r="C182" i="3"/>
  <c r="E181" i="3"/>
  <c r="D181" i="3"/>
  <c r="C181" i="3"/>
  <c r="E180" i="3"/>
  <c r="D180" i="3"/>
  <c r="C180" i="3"/>
  <c r="E179" i="3"/>
  <c r="D179" i="3"/>
  <c r="C179" i="3"/>
  <c r="E178" i="3"/>
  <c r="D178" i="3"/>
  <c r="C178" i="3"/>
  <c r="E177" i="3"/>
  <c r="D177" i="3"/>
  <c r="C177" i="3"/>
  <c r="E176" i="3"/>
  <c r="D176" i="3"/>
  <c r="C176" i="3"/>
  <c r="E175" i="3"/>
  <c r="D175" i="3"/>
  <c r="C175" i="3"/>
  <c r="E174" i="3"/>
  <c r="D174" i="3"/>
  <c r="C174" i="3"/>
  <c r="E173" i="3"/>
  <c r="D173" i="3"/>
  <c r="C173" i="3"/>
  <c r="E167" i="3"/>
  <c r="D167" i="3"/>
  <c r="C167" i="3"/>
  <c r="E166" i="3"/>
  <c r="D166" i="3"/>
  <c r="C166" i="3"/>
  <c r="E165" i="3"/>
  <c r="D165" i="3"/>
  <c r="C165" i="3"/>
  <c r="E164" i="3"/>
  <c r="D164" i="3"/>
  <c r="C164" i="3"/>
  <c r="E163" i="3"/>
  <c r="D163" i="3"/>
  <c r="C163" i="3"/>
  <c r="E162" i="3"/>
  <c r="D162" i="3"/>
  <c r="C162" i="3"/>
  <c r="E161" i="3"/>
  <c r="D161" i="3"/>
  <c r="C161" i="3"/>
  <c r="E160" i="3"/>
  <c r="D160" i="3"/>
  <c r="C160" i="3"/>
  <c r="E154" i="3"/>
  <c r="E155" i="3" s="1"/>
  <c r="D154" i="3"/>
  <c r="C154" i="3"/>
  <c r="E153" i="3"/>
  <c r="D153" i="3"/>
  <c r="C153" i="3"/>
  <c r="E146" i="3"/>
  <c r="D146" i="3"/>
  <c r="C146" i="3"/>
  <c r="E145" i="3"/>
  <c r="D145" i="3"/>
  <c r="C145" i="3"/>
  <c r="E144" i="3"/>
  <c r="D144" i="3"/>
  <c r="C144" i="3"/>
  <c r="E143" i="3"/>
  <c r="D143" i="3"/>
  <c r="C143" i="3"/>
  <c r="E142" i="3"/>
  <c r="D142" i="3"/>
  <c r="C142" i="3"/>
  <c r="E141" i="3"/>
  <c r="D141" i="3"/>
  <c r="C141" i="3"/>
  <c r="E138" i="3"/>
  <c r="D138" i="3"/>
  <c r="C138" i="3"/>
  <c r="E137" i="3"/>
  <c r="D137" i="3"/>
  <c r="C137" i="3"/>
  <c r="E136" i="3"/>
  <c r="D136" i="3"/>
  <c r="C136" i="3"/>
  <c r="E135" i="3"/>
  <c r="D135" i="3"/>
  <c r="C135" i="3"/>
  <c r="E134" i="3"/>
  <c r="D134" i="3"/>
  <c r="C134" i="3"/>
  <c r="E133" i="3"/>
  <c r="D133" i="3"/>
  <c r="C133" i="3"/>
  <c r="E132" i="3"/>
  <c r="D132" i="3"/>
  <c r="C132" i="3"/>
  <c r="E131" i="3"/>
  <c r="D131" i="3"/>
  <c r="C131" i="3"/>
  <c r="E130" i="3"/>
  <c r="D130" i="3"/>
  <c r="C130" i="3"/>
  <c r="E129" i="3"/>
  <c r="D129" i="3"/>
  <c r="C129" i="3"/>
  <c r="E128" i="3"/>
  <c r="D128" i="3"/>
  <c r="C128" i="3"/>
  <c r="E127" i="3"/>
  <c r="D127" i="3"/>
  <c r="C127" i="3"/>
  <c r="E126" i="3"/>
  <c r="D126" i="3"/>
  <c r="C126" i="3"/>
  <c r="C121" i="3"/>
  <c r="E115" i="3"/>
  <c r="D115" i="3"/>
  <c r="C115" i="3"/>
  <c r="E114" i="3"/>
  <c r="D114" i="3"/>
  <c r="C114" i="3"/>
  <c r="F108" i="3"/>
  <c r="E108" i="3"/>
  <c r="D108" i="3"/>
  <c r="C108" i="3"/>
  <c r="F107" i="3"/>
  <c r="E107" i="3"/>
  <c r="D107" i="3"/>
  <c r="C107" i="3"/>
  <c r="F106" i="3"/>
  <c r="E106" i="3"/>
  <c r="D106" i="3"/>
  <c r="C106" i="3"/>
  <c r="F105" i="3"/>
  <c r="E105" i="3"/>
  <c r="D105" i="3"/>
  <c r="C105" i="3"/>
  <c r="F104" i="3"/>
  <c r="E104" i="3"/>
  <c r="D104" i="3"/>
  <c r="C104" i="3"/>
  <c r="F103" i="3"/>
  <c r="E103" i="3"/>
  <c r="D103" i="3"/>
  <c r="C103" i="3"/>
  <c r="F102" i="3"/>
  <c r="E102" i="3"/>
  <c r="D102" i="3"/>
  <c r="C102" i="3"/>
  <c r="F101" i="3"/>
  <c r="E101" i="3"/>
  <c r="D101" i="3"/>
  <c r="C101" i="3"/>
  <c r="F100" i="3"/>
  <c r="E100" i="3"/>
  <c r="D100" i="3"/>
  <c r="C100" i="3"/>
  <c r="F99" i="3"/>
  <c r="E99" i="3"/>
  <c r="D99" i="3"/>
  <c r="C99" i="3"/>
  <c r="F98" i="3"/>
  <c r="E98" i="3"/>
  <c r="D98" i="3"/>
  <c r="C98" i="3"/>
  <c r="F97" i="3"/>
  <c r="E97" i="3"/>
  <c r="D97" i="3"/>
  <c r="C97" i="3"/>
  <c r="F96" i="3"/>
  <c r="E96" i="3"/>
  <c r="D96" i="3"/>
  <c r="C96" i="3"/>
  <c r="F95" i="3"/>
  <c r="E95" i="3"/>
  <c r="D95" i="3"/>
  <c r="C95" i="3"/>
  <c r="F94" i="3"/>
  <c r="E94" i="3"/>
  <c r="D94" i="3"/>
  <c r="C94" i="3"/>
  <c r="F93" i="3"/>
  <c r="E93" i="3"/>
  <c r="D93" i="3"/>
  <c r="C93" i="3"/>
  <c r="F92" i="3"/>
  <c r="E92" i="3"/>
  <c r="D92" i="3"/>
  <c r="C92" i="3"/>
  <c r="F91" i="3"/>
  <c r="E91" i="3"/>
  <c r="D91" i="3"/>
  <c r="C91" i="3"/>
  <c r="F90" i="3"/>
  <c r="E90" i="3"/>
  <c r="D90" i="3"/>
  <c r="C90" i="3"/>
  <c r="E83" i="3"/>
  <c r="C83" i="3"/>
  <c r="E82" i="3"/>
  <c r="E84" i="3" s="1"/>
  <c r="C82" i="3"/>
  <c r="E81" i="3"/>
  <c r="C81" i="3"/>
  <c r="E75" i="3"/>
  <c r="C75" i="3"/>
  <c r="E74" i="3"/>
  <c r="C74" i="3"/>
  <c r="E73" i="3"/>
  <c r="C73" i="3"/>
  <c r="E72" i="3"/>
  <c r="C72" i="3"/>
  <c r="E71" i="3"/>
  <c r="C71" i="3"/>
  <c r="E70" i="3"/>
  <c r="C70" i="3"/>
  <c r="E69" i="3"/>
  <c r="C69" i="3"/>
  <c r="C68" i="3"/>
  <c r="E67" i="3"/>
  <c r="C67" i="3"/>
  <c r="E66" i="3"/>
  <c r="C66" i="3"/>
  <c r="E65" i="3"/>
  <c r="C65" i="3"/>
  <c r="E64" i="3"/>
  <c r="C64" i="3"/>
  <c r="E63" i="3"/>
  <c r="C63" i="3"/>
  <c r="E62" i="3"/>
  <c r="C62" i="3"/>
  <c r="C61" i="3"/>
  <c r="E60" i="3"/>
  <c r="C60" i="3"/>
  <c r="E59" i="3"/>
  <c r="C59" i="3"/>
  <c r="E58" i="3"/>
  <c r="C58" i="3"/>
  <c r="E57" i="3"/>
  <c r="C57" i="3"/>
  <c r="E56" i="3"/>
  <c r="C56" i="3"/>
  <c r="C55" i="3"/>
  <c r="E49" i="3"/>
  <c r="D49" i="3"/>
  <c r="C49" i="3"/>
  <c r="E48" i="3"/>
  <c r="D48" i="3"/>
  <c r="C48" i="3"/>
  <c r="E47" i="3"/>
  <c r="D47" i="3"/>
  <c r="C47" i="3"/>
  <c r="E45" i="3"/>
  <c r="D45" i="3"/>
  <c r="C45" i="3"/>
  <c r="E44" i="3"/>
  <c r="D44" i="3"/>
  <c r="C44" i="3"/>
  <c r="E43" i="3"/>
  <c r="D43" i="3"/>
  <c r="C43" i="3"/>
  <c r="E42" i="3"/>
  <c r="D42" i="3"/>
  <c r="C42" i="3"/>
  <c r="E40" i="3"/>
  <c r="D40" i="3"/>
  <c r="C40" i="3"/>
  <c r="E39" i="3"/>
  <c r="D39" i="3"/>
  <c r="C39" i="3"/>
  <c r="E37" i="3"/>
  <c r="D37" i="3"/>
  <c r="C37" i="3"/>
  <c r="E36" i="3"/>
  <c r="D36" i="3"/>
  <c r="C36" i="3"/>
  <c r="E35" i="3"/>
  <c r="D35" i="3"/>
  <c r="C35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E29" i="3"/>
  <c r="D29" i="3"/>
  <c r="C29" i="3"/>
  <c r="E28" i="3"/>
  <c r="D28" i="3"/>
  <c r="C28" i="3"/>
  <c r="E26" i="3"/>
  <c r="D26" i="3"/>
  <c r="C26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C21" i="3"/>
  <c r="E20" i="3"/>
  <c r="D20" i="3"/>
  <c r="C20" i="3"/>
  <c r="E19" i="3"/>
  <c r="D19" i="3"/>
  <c r="C19" i="3"/>
  <c r="E18" i="3"/>
  <c r="D18" i="3"/>
  <c r="C18" i="3"/>
  <c r="E17" i="3"/>
  <c r="D17" i="3"/>
  <c r="C17" i="3"/>
  <c r="E16" i="3"/>
  <c r="D16" i="3"/>
  <c r="C16" i="3"/>
  <c r="E15" i="3"/>
  <c r="D15" i="3"/>
  <c r="C15" i="3"/>
  <c r="E14" i="3"/>
  <c r="D14" i="3"/>
  <c r="C14" i="3"/>
  <c r="C8" i="3"/>
  <c r="C6" i="3"/>
  <c r="A5" i="3"/>
  <c r="C4" i="3"/>
  <c r="A4" i="3"/>
  <c r="A3" i="3"/>
  <c r="A2" i="3"/>
  <c r="E55" i="4" l="1"/>
  <c r="C204" i="1"/>
  <c r="C281" i="1"/>
  <c r="C116" i="3"/>
  <c r="C155" i="3"/>
  <c r="E204" i="3"/>
  <c r="C50" i="1"/>
  <c r="E148" i="4"/>
  <c r="E76" i="4"/>
  <c r="E307" i="4"/>
  <c r="C148" i="4"/>
  <c r="E68" i="3"/>
  <c r="D109" i="3"/>
  <c r="E116" i="3"/>
  <c r="E139" i="3"/>
  <c r="E148" i="3" s="1"/>
  <c r="C204" i="3"/>
  <c r="E218" i="3"/>
  <c r="E303" i="3"/>
  <c r="E50" i="1"/>
  <c r="E61" i="1"/>
  <c r="F109" i="1"/>
  <c r="C147" i="1"/>
  <c r="C168" i="1"/>
  <c r="C232" i="1"/>
  <c r="E291" i="1"/>
  <c r="C109" i="3"/>
  <c r="C76" i="1"/>
  <c r="E109" i="1"/>
  <c r="E116" i="1"/>
  <c r="E139" i="1"/>
  <c r="E155" i="1"/>
  <c r="E218" i="1"/>
  <c r="E303" i="1"/>
  <c r="E50" i="3"/>
  <c r="E61" i="3"/>
  <c r="E55" i="3" s="1"/>
  <c r="E76" i="3" s="1"/>
  <c r="F109" i="3"/>
  <c r="C139" i="3"/>
  <c r="E147" i="3"/>
  <c r="E168" i="3"/>
  <c r="C218" i="3"/>
  <c r="E232" i="3"/>
  <c r="E281" i="3"/>
  <c r="C291" i="3"/>
  <c r="E84" i="1"/>
  <c r="D109" i="1"/>
  <c r="E204" i="1"/>
  <c r="C50" i="3"/>
  <c r="C76" i="3"/>
  <c r="C84" i="3"/>
  <c r="E109" i="3"/>
  <c r="C147" i="3"/>
  <c r="C168" i="3"/>
  <c r="C232" i="3"/>
  <c r="C281" i="3"/>
  <c r="E291" i="3"/>
  <c r="E55" i="1"/>
  <c r="E76" i="1" s="1"/>
  <c r="C84" i="1"/>
  <c r="C109" i="1"/>
  <c r="C139" i="1"/>
  <c r="C148" i="1" s="1"/>
  <c r="E147" i="1"/>
  <c r="C155" i="1"/>
  <c r="E168" i="1"/>
  <c r="C218" i="1"/>
  <c r="E281" i="1"/>
  <c r="C291" i="1"/>
  <c r="C330" i="2"/>
  <c r="C225" i="2"/>
  <c r="C140" i="2"/>
  <c r="E299" i="2"/>
  <c r="C83" i="2"/>
  <c r="C59" i="2"/>
  <c r="C57" i="2"/>
  <c r="E49" i="2"/>
  <c r="E25" i="2"/>
  <c r="C23" i="2"/>
  <c r="E21" i="2"/>
  <c r="C19" i="2"/>
  <c r="E17" i="2"/>
  <c r="C15" i="2"/>
  <c r="E176" i="2"/>
  <c r="G176" i="2" s="1"/>
  <c r="H176" i="2" s="1"/>
  <c r="I176" i="2" s="1"/>
  <c r="J176" i="2" s="1"/>
  <c r="E115" i="2"/>
  <c r="E114" i="2"/>
  <c r="E82" i="2"/>
  <c r="E75" i="2"/>
  <c r="C74" i="2"/>
  <c r="E73" i="2"/>
  <c r="C72" i="2"/>
  <c r="E71" i="2"/>
  <c r="C70" i="2"/>
  <c r="E69" i="2"/>
  <c r="E67" i="2"/>
  <c r="C67" i="2"/>
  <c r="E65" i="2"/>
  <c r="C65" i="2"/>
  <c r="E63" i="2"/>
  <c r="C63" i="2"/>
  <c r="C61" i="2"/>
  <c r="E58" i="2"/>
  <c r="E56" i="2"/>
  <c r="C48" i="2"/>
  <c r="E45" i="2"/>
  <c r="E44" i="2"/>
  <c r="C43" i="2"/>
  <c r="E40" i="2"/>
  <c r="G40" i="2" s="1"/>
  <c r="H40" i="2" s="1"/>
  <c r="I40" i="2" s="1"/>
  <c r="J40" i="2" s="1"/>
  <c r="C37" i="2"/>
  <c r="C36" i="2"/>
  <c r="E35" i="2"/>
  <c r="E34" i="2"/>
  <c r="C33" i="2"/>
  <c r="C32" i="2"/>
  <c r="E31" i="2"/>
  <c r="E30" i="2"/>
  <c r="C29" i="2"/>
  <c r="E26" i="2"/>
  <c r="C24" i="2"/>
  <c r="E22" i="2"/>
  <c r="C20" i="2"/>
  <c r="E18" i="2"/>
  <c r="C16" i="2"/>
  <c r="E345" i="2"/>
  <c r="E344" i="2"/>
  <c r="E336" i="2"/>
  <c r="E335" i="2"/>
  <c r="D302" i="2"/>
  <c r="D301" i="2"/>
  <c r="D300" i="2"/>
  <c r="D299" i="2"/>
  <c r="D298" i="2"/>
  <c r="D297" i="2"/>
  <c r="D296" i="2"/>
  <c r="D290" i="2"/>
  <c r="D289" i="2"/>
  <c r="D288" i="2"/>
  <c r="D287" i="2"/>
  <c r="D286" i="2"/>
  <c r="D280" i="2"/>
  <c r="D279" i="2"/>
  <c r="D278" i="2"/>
  <c r="D277" i="2"/>
  <c r="D276" i="2"/>
  <c r="D275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31" i="2"/>
  <c r="D230" i="2"/>
  <c r="D217" i="2"/>
  <c r="D215" i="2"/>
  <c r="D214" i="2"/>
  <c r="D213" i="2"/>
  <c r="D212" i="2"/>
  <c r="D211" i="2"/>
  <c r="D210" i="2"/>
  <c r="D209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67" i="2"/>
  <c r="D166" i="2"/>
  <c r="D165" i="2"/>
  <c r="D164" i="2"/>
  <c r="D163" i="2"/>
  <c r="D162" i="2"/>
  <c r="D161" i="2"/>
  <c r="D160" i="2"/>
  <c r="D154" i="2"/>
  <c r="D153" i="2"/>
  <c r="D146" i="2"/>
  <c r="D145" i="2"/>
  <c r="D144" i="2"/>
  <c r="D143" i="2"/>
  <c r="D142" i="2"/>
  <c r="D141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C121" i="2"/>
  <c r="D115" i="2"/>
  <c r="D114" i="2"/>
  <c r="E108" i="2"/>
  <c r="D108" i="2"/>
  <c r="E107" i="2"/>
  <c r="D107" i="2"/>
  <c r="E106" i="2"/>
  <c r="D106" i="2"/>
  <c r="E105" i="2"/>
  <c r="D105" i="2"/>
  <c r="E104" i="2"/>
  <c r="D104" i="2"/>
  <c r="E103" i="2"/>
  <c r="D103" i="2"/>
  <c r="E102" i="2"/>
  <c r="D102" i="2"/>
  <c r="E101" i="2"/>
  <c r="D101" i="2"/>
  <c r="E100" i="2"/>
  <c r="D100" i="2"/>
  <c r="E99" i="2"/>
  <c r="D99" i="2"/>
  <c r="E98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D49" i="2"/>
  <c r="D48" i="2"/>
  <c r="D47" i="2"/>
  <c r="D45" i="2"/>
  <c r="D44" i="2"/>
  <c r="D43" i="2"/>
  <c r="D42" i="2"/>
  <c r="D40" i="2"/>
  <c r="D39" i="2"/>
  <c r="D37" i="2"/>
  <c r="D36" i="2"/>
  <c r="D35" i="2"/>
  <c r="D34" i="2"/>
  <c r="D33" i="2"/>
  <c r="D32" i="2"/>
  <c r="D31" i="2"/>
  <c r="D30" i="2"/>
  <c r="D29" i="2"/>
  <c r="D28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C8" i="2"/>
  <c r="C6" i="2"/>
  <c r="A5" i="2"/>
  <c r="C4" i="2"/>
  <c r="A4" i="2"/>
  <c r="A3" i="2"/>
  <c r="A2" i="2"/>
  <c r="E116" i="2" l="1"/>
  <c r="E16" i="2"/>
  <c r="G16" i="2" s="1"/>
  <c r="H16" i="2" s="1"/>
  <c r="I16" i="2" s="1"/>
  <c r="J16" i="2" s="1"/>
  <c r="C18" i="2"/>
  <c r="E20" i="2"/>
  <c r="G20" i="2" s="1"/>
  <c r="H20" i="2" s="1"/>
  <c r="I20" i="2" s="1"/>
  <c r="J20" i="2" s="1"/>
  <c r="C22" i="2"/>
  <c r="E24" i="2"/>
  <c r="G24" i="2" s="1"/>
  <c r="H24" i="2" s="1"/>
  <c r="I24" i="2" s="1"/>
  <c r="J24" i="2" s="1"/>
  <c r="C26" i="2"/>
  <c r="E29" i="2"/>
  <c r="G29" i="2" s="1"/>
  <c r="H29" i="2" s="1"/>
  <c r="I29" i="2" s="1"/>
  <c r="J29" i="2" s="1"/>
  <c r="C31" i="2"/>
  <c r="E33" i="2"/>
  <c r="G33" i="2" s="1"/>
  <c r="H33" i="2" s="1"/>
  <c r="I33" i="2" s="1"/>
  <c r="J33" i="2" s="1"/>
  <c r="C35" i="2"/>
  <c r="E37" i="2"/>
  <c r="G37" i="2" s="1"/>
  <c r="H37" i="2" s="1"/>
  <c r="I37" i="2" s="1"/>
  <c r="J37" i="2" s="1"/>
  <c r="E43" i="2"/>
  <c r="G43" i="2" s="1"/>
  <c r="H43" i="2" s="1"/>
  <c r="I43" i="2" s="1"/>
  <c r="J43" i="2" s="1"/>
  <c r="C45" i="2"/>
  <c r="E48" i="2"/>
  <c r="G48" i="2" s="1"/>
  <c r="H48" i="2" s="1"/>
  <c r="I48" i="2" s="1"/>
  <c r="J48" i="2" s="1"/>
  <c r="E57" i="2"/>
  <c r="G57" i="2" s="1"/>
  <c r="H57" i="2" s="1"/>
  <c r="I57" i="2" s="1"/>
  <c r="J57" i="2" s="1"/>
  <c r="E59" i="2"/>
  <c r="C62" i="2"/>
  <c r="C64" i="2"/>
  <c r="C66" i="2"/>
  <c r="C68" i="2"/>
  <c r="E70" i="2"/>
  <c r="G70" i="2" s="1"/>
  <c r="H70" i="2" s="1"/>
  <c r="I70" i="2" s="1"/>
  <c r="J70" i="2" s="1"/>
  <c r="E72" i="2"/>
  <c r="G72" i="2" s="1"/>
  <c r="H72" i="2" s="1"/>
  <c r="I72" i="2" s="1"/>
  <c r="J72" i="2" s="1"/>
  <c r="E74" i="2"/>
  <c r="G74" i="2" s="1"/>
  <c r="H74" i="2" s="1"/>
  <c r="I74" i="2" s="1"/>
  <c r="J74" i="2" s="1"/>
  <c r="E81" i="2"/>
  <c r="E83" i="2"/>
  <c r="G83" i="2" s="1"/>
  <c r="H83" i="2" s="1"/>
  <c r="I83" i="2" s="1"/>
  <c r="J83" i="2" s="1"/>
  <c r="E60" i="2"/>
  <c r="G60" i="2" s="1"/>
  <c r="H60" i="2" s="1"/>
  <c r="I60" i="2" s="1"/>
  <c r="J60" i="2" s="1"/>
  <c r="E15" i="2"/>
  <c r="C17" i="2"/>
  <c r="E19" i="2"/>
  <c r="G19" i="2" s="1"/>
  <c r="H19" i="2" s="1"/>
  <c r="I19" i="2" s="1"/>
  <c r="J19" i="2" s="1"/>
  <c r="C21" i="2"/>
  <c r="E23" i="2"/>
  <c r="C25" i="2"/>
  <c r="C30" i="2"/>
  <c r="E32" i="2"/>
  <c r="G32" i="2" s="1"/>
  <c r="H32" i="2" s="1"/>
  <c r="I32" i="2" s="1"/>
  <c r="J32" i="2" s="1"/>
  <c r="C34" i="2"/>
  <c r="E36" i="2"/>
  <c r="G36" i="2" s="1"/>
  <c r="H36" i="2" s="1"/>
  <c r="I36" i="2" s="1"/>
  <c r="J36" i="2" s="1"/>
  <c r="C44" i="2"/>
  <c r="C49" i="2"/>
  <c r="C56" i="2"/>
  <c r="C58" i="2"/>
  <c r="C60" i="2"/>
  <c r="E62" i="2"/>
  <c r="G62" i="2" s="1"/>
  <c r="H62" i="2" s="1"/>
  <c r="I62" i="2" s="1"/>
  <c r="J62" i="2" s="1"/>
  <c r="E64" i="2"/>
  <c r="G64" i="2" s="1"/>
  <c r="H64" i="2" s="1"/>
  <c r="I64" i="2" s="1"/>
  <c r="J64" i="2" s="1"/>
  <c r="E66" i="2"/>
  <c r="G66" i="2" s="1"/>
  <c r="H66" i="2" s="1"/>
  <c r="I66" i="2" s="1"/>
  <c r="J66" i="2" s="1"/>
  <c r="C69" i="2"/>
  <c r="C71" i="2"/>
  <c r="C73" i="2"/>
  <c r="C75" i="2"/>
  <c r="C82" i="2"/>
  <c r="G26" i="2"/>
  <c r="H26" i="2" s="1"/>
  <c r="I26" i="2" s="1"/>
  <c r="J26" i="2" s="1"/>
  <c r="G35" i="2"/>
  <c r="H35" i="2" s="1"/>
  <c r="I35" i="2" s="1"/>
  <c r="J35" i="2" s="1"/>
  <c r="G45" i="2"/>
  <c r="H45" i="2" s="1"/>
  <c r="I45" i="2" s="1"/>
  <c r="J45" i="2" s="1"/>
  <c r="G58" i="2"/>
  <c r="H58" i="2" s="1"/>
  <c r="I58" i="2" s="1"/>
  <c r="J58" i="2" s="1"/>
  <c r="C136" i="2"/>
  <c r="E265" i="2"/>
  <c r="G265" i="2" s="1"/>
  <c r="H265" i="2" s="1"/>
  <c r="I265" i="2" s="1"/>
  <c r="J265" i="2" s="1"/>
  <c r="E278" i="2"/>
  <c r="G278" i="2" s="1"/>
  <c r="H278" i="2" s="1"/>
  <c r="I278" i="2" s="1"/>
  <c r="J278" i="2" s="1"/>
  <c r="E190" i="2"/>
  <c r="G190" i="2" s="1"/>
  <c r="H190" i="2" s="1"/>
  <c r="I190" i="2" s="1"/>
  <c r="J190" i="2" s="1"/>
  <c r="E263" i="2"/>
  <c r="G263" i="2" s="1"/>
  <c r="H263" i="2" s="1"/>
  <c r="I263" i="2" s="1"/>
  <c r="J263" i="2" s="1"/>
  <c r="G63" i="2"/>
  <c r="H63" i="2" s="1"/>
  <c r="I63" i="2" s="1"/>
  <c r="J63" i="2" s="1"/>
  <c r="G81" i="2"/>
  <c r="H81" i="2" s="1"/>
  <c r="I81" i="2" s="1"/>
  <c r="J81" i="2" s="1"/>
  <c r="F92" i="2"/>
  <c r="G92" i="2" s="1"/>
  <c r="H92" i="2" s="1"/>
  <c r="I92" i="2" s="1"/>
  <c r="J92" i="2" s="1"/>
  <c r="F93" i="2"/>
  <c r="G93" i="2" s="1"/>
  <c r="H93" i="2" s="1"/>
  <c r="I93" i="2" s="1"/>
  <c r="J93" i="2" s="1"/>
  <c r="F96" i="2"/>
  <c r="G96" i="2" s="1"/>
  <c r="H96" i="2" s="1"/>
  <c r="I96" i="2" s="1"/>
  <c r="J96" i="2" s="1"/>
  <c r="F99" i="2"/>
  <c r="G99" i="2" s="1"/>
  <c r="H99" i="2" s="1"/>
  <c r="I99" i="2" s="1"/>
  <c r="J99" i="2" s="1"/>
  <c r="F100" i="2"/>
  <c r="G100" i="2" s="1"/>
  <c r="H100" i="2" s="1"/>
  <c r="I100" i="2" s="1"/>
  <c r="J100" i="2" s="1"/>
  <c r="F102" i="2"/>
  <c r="G102" i="2" s="1"/>
  <c r="F104" i="2"/>
  <c r="G104" i="2" s="1"/>
  <c r="H104" i="2" s="1"/>
  <c r="I104" i="2" s="1"/>
  <c r="J104" i="2" s="1"/>
  <c r="F107" i="2"/>
  <c r="G107" i="2" s="1"/>
  <c r="H107" i="2" s="1"/>
  <c r="I107" i="2" s="1"/>
  <c r="J107" i="2" s="1"/>
  <c r="E146" i="2"/>
  <c r="G146" i="2" s="1"/>
  <c r="H146" i="2" s="1"/>
  <c r="I146" i="2" s="1"/>
  <c r="J146" i="2" s="1"/>
  <c r="E178" i="2"/>
  <c r="G178" i="2" s="1"/>
  <c r="H178" i="2" s="1"/>
  <c r="I178" i="2" s="1"/>
  <c r="J178" i="2" s="1"/>
  <c r="E186" i="2"/>
  <c r="G186" i="2" s="1"/>
  <c r="H186" i="2" s="1"/>
  <c r="I186" i="2" s="1"/>
  <c r="J186" i="2" s="1"/>
  <c r="E194" i="2"/>
  <c r="G194" i="2" s="1"/>
  <c r="H194" i="2" s="1"/>
  <c r="I194" i="2" s="1"/>
  <c r="J194" i="2" s="1"/>
  <c r="C196" i="2"/>
  <c r="E202" i="2"/>
  <c r="G202" i="2" s="1"/>
  <c r="H202" i="2" s="1"/>
  <c r="I202" i="2" s="1"/>
  <c r="J202" i="2" s="1"/>
  <c r="E215" i="2"/>
  <c r="G215" i="2" s="1"/>
  <c r="H215" i="2" s="1"/>
  <c r="I215" i="2" s="1"/>
  <c r="J215" i="2" s="1"/>
  <c r="E242" i="2"/>
  <c r="G242" i="2" s="1"/>
  <c r="H242" i="2" s="1"/>
  <c r="I242" i="2" s="1"/>
  <c r="J242" i="2" s="1"/>
  <c r="C244" i="2"/>
  <c r="C248" i="2"/>
  <c r="E254" i="2"/>
  <c r="G254" i="2" s="1"/>
  <c r="H254" i="2" s="1"/>
  <c r="I254" i="2" s="1"/>
  <c r="J254" i="2" s="1"/>
  <c r="E259" i="2"/>
  <c r="G259" i="2" s="1"/>
  <c r="H259" i="2" s="1"/>
  <c r="I259" i="2" s="1"/>
  <c r="J259" i="2" s="1"/>
  <c r="C261" i="2"/>
  <c r="E267" i="2"/>
  <c r="G267" i="2" s="1"/>
  <c r="H267" i="2" s="1"/>
  <c r="I267" i="2" s="1"/>
  <c r="J267" i="2" s="1"/>
  <c r="E271" i="2"/>
  <c r="G271" i="2" s="1"/>
  <c r="H271" i="2" s="1"/>
  <c r="I271" i="2" s="1"/>
  <c r="J271" i="2" s="1"/>
  <c r="C273" i="2"/>
  <c r="E280" i="2"/>
  <c r="G280" i="2" s="1"/>
  <c r="H280" i="2" s="1"/>
  <c r="I280" i="2" s="1"/>
  <c r="J280" i="2" s="1"/>
  <c r="C296" i="2"/>
  <c r="E298" i="2"/>
  <c r="G298" i="2" s="1"/>
  <c r="H298" i="2" s="1"/>
  <c r="I298" i="2" s="1"/>
  <c r="J298" i="2" s="1"/>
  <c r="E307" i="1"/>
  <c r="E28" i="2"/>
  <c r="G28" i="2" s="1"/>
  <c r="H28" i="2" s="1"/>
  <c r="I28" i="2" s="1"/>
  <c r="J28" i="2" s="1"/>
  <c r="C91" i="2"/>
  <c r="C191" i="2"/>
  <c r="C153" i="2"/>
  <c r="E262" i="2"/>
  <c r="G262" i="2" s="1"/>
  <c r="H262" i="2" s="1"/>
  <c r="I262" i="2" s="1"/>
  <c r="J262" i="2" s="1"/>
  <c r="E312" i="4"/>
  <c r="G17" i="2"/>
  <c r="H17" i="2" s="1"/>
  <c r="I17" i="2" s="1"/>
  <c r="J17" i="2" s="1"/>
  <c r="E137" i="2"/>
  <c r="G137" i="2" s="1"/>
  <c r="H137" i="2" s="1"/>
  <c r="I137" i="2" s="1"/>
  <c r="J137" i="2" s="1"/>
  <c r="E199" i="2"/>
  <c r="G199" i="2" s="1"/>
  <c r="H199" i="2" s="1"/>
  <c r="I199" i="2" s="1"/>
  <c r="J199" i="2" s="1"/>
  <c r="E247" i="2"/>
  <c r="G247" i="2" s="1"/>
  <c r="H247" i="2" s="1"/>
  <c r="I247" i="2" s="1"/>
  <c r="J247" i="2" s="1"/>
  <c r="E260" i="2"/>
  <c r="G260" i="2" s="1"/>
  <c r="H260" i="2" s="1"/>
  <c r="I260" i="2" s="1"/>
  <c r="J260" i="2" s="1"/>
  <c r="G49" i="2"/>
  <c r="H49" i="2" s="1"/>
  <c r="I49" i="2" s="1"/>
  <c r="J49" i="2" s="1"/>
  <c r="E166" i="2"/>
  <c r="G166" i="2" s="1"/>
  <c r="H166" i="2" s="1"/>
  <c r="I166" i="2" s="1"/>
  <c r="J166" i="2" s="1"/>
  <c r="E264" i="2"/>
  <c r="G264" i="2" s="1"/>
  <c r="H264" i="2" s="1"/>
  <c r="I264" i="2" s="1"/>
  <c r="J264" i="2" s="1"/>
  <c r="C108" i="2"/>
  <c r="E42" i="2"/>
  <c r="G42" i="2" s="1"/>
  <c r="H42" i="2" s="1"/>
  <c r="I42" i="2" s="1"/>
  <c r="J42" i="2" s="1"/>
  <c r="C97" i="2"/>
  <c r="E131" i="2"/>
  <c r="G131" i="2" s="1"/>
  <c r="H131" i="2" s="1"/>
  <c r="I131" i="2" s="1"/>
  <c r="J131" i="2" s="1"/>
  <c r="C143" i="2"/>
  <c r="C187" i="2"/>
  <c r="C203" i="2"/>
  <c r="E266" i="2"/>
  <c r="G266" i="2" s="1"/>
  <c r="H266" i="2" s="1"/>
  <c r="I266" i="2" s="1"/>
  <c r="J266" i="2" s="1"/>
  <c r="G75" i="2"/>
  <c r="H75" i="2" s="1"/>
  <c r="I75" i="2" s="1"/>
  <c r="J75" i="2" s="1"/>
  <c r="E144" i="2"/>
  <c r="G144" i="2" s="1"/>
  <c r="H144" i="2" s="1"/>
  <c r="I144" i="2" s="1"/>
  <c r="J144" i="2" s="1"/>
  <c r="E192" i="2"/>
  <c r="G192" i="2" s="1"/>
  <c r="H192" i="2" s="1"/>
  <c r="I192" i="2" s="1"/>
  <c r="J192" i="2" s="1"/>
  <c r="E237" i="2"/>
  <c r="G237" i="2" s="1"/>
  <c r="H237" i="2" s="1"/>
  <c r="I237" i="2" s="1"/>
  <c r="J237" i="2" s="1"/>
  <c r="E244" i="2"/>
  <c r="G244" i="2" s="1"/>
  <c r="H244" i="2" s="1"/>
  <c r="I244" i="2" s="1"/>
  <c r="J244" i="2" s="1"/>
  <c r="E287" i="2"/>
  <c r="G287" i="2" s="1"/>
  <c r="H287" i="2" s="1"/>
  <c r="I287" i="2" s="1"/>
  <c r="J287" i="2" s="1"/>
  <c r="E300" i="2"/>
  <c r="G300" i="2" s="1"/>
  <c r="H300" i="2" s="1"/>
  <c r="I300" i="2" s="1"/>
  <c r="J300" i="2" s="1"/>
  <c r="C40" i="2"/>
  <c r="C55" i="2"/>
  <c r="F90" i="2"/>
  <c r="G90" i="2" s="1"/>
  <c r="H90" i="2" s="1"/>
  <c r="I90" i="2" s="1"/>
  <c r="J90" i="2" s="1"/>
  <c r="F91" i="2"/>
  <c r="G91" i="2" s="1"/>
  <c r="F94" i="2"/>
  <c r="G94" i="2" s="1"/>
  <c r="F97" i="2"/>
  <c r="G97" i="2" s="1"/>
  <c r="H97" i="2" s="1"/>
  <c r="I97" i="2" s="1"/>
  <c r="J97" i="2" s="1"/>
  <c r="F98" i="2"/>
  <c r="G98" i="2" s="1"/>
  <c r="H98" i="2" s="1"/>
  <c r="I98" i="2" s="1"/>
  <c r="J98" i="2" s="1"/>
  <c r="F101" i="2"/>
  <c r="G101" i="2" s="1"/>
  <c r="H101" i="2" s="1"/>
  <c r="I101" i="2" s="1"/>
  <c r="J101" i="2" s="1"/>
  <c r="F105" i="2"/>
  <c r="G105" i="2" s="1"/>
  <c r="H105" i="2" s="1"/>
  <c r="I105" i="2" s="1"/>
  <c r="J105" i="2" s="1"/>
  <c r="F106" i="2"/>
  <c r="G106" i="2" s="1"/>
  <c r="H106" i="2" s="1"/>
  <c r="I106" i="2" s="1"/>
  <c r="J106" i="2" s="1"/>
  <c r="F108" i="2"/>
  <c r="G108" i="2" s="1"/>
  <c r="H108" i="2" s="1"/>
  <c r="I108" i="2" s="1"/>
  <c r="J108" i="2" s="1"/>
  <c r="E128" i="2"/>
  <c r="G128" i="2" s="1"/>
  <c r="H128" i="2" s="1"/>
  <c r="I128" i="2" s="1"/>
  <c r="J128" i="2" s="1"/>
  <c r="E136" i="2"/>
  <c r="G136" i="2" s="1"/>
  <c r="H136" i="2" s="1"/>
  <c r="I136" i="2" s="1"/>
  <c r="J136" i="2" s="1"/>
  <c r="C144" i="2"/>
  <c r="E165" i="2"/>
  <c r="G165" i="2" s="1"/>
  <c r="H165" i="2" s="1"/>
  <c r="I165" i="2" s="1"/>
  <c r="J165" i="2" s="1"/>
  <c r="E174" i="2"/>
  <c r="G174" i="2" s="1"/>
  <c r="H174" i="2" s="1"/>
  <c r="I174" i="2" s="1"/>
  <c r="J174" i="2" s="1"/>
  <c r="C180" i="2"/>
  <c r="E182" i="2"/>
  <c r="G182" i="2" s="1"/>
  <c r="H182" i="2" s="1"/>
  <c r="I182" i="2" s="1"/>
  <c r="J182" i="2" s="1"/>
  <c r="C188" i="2"/>
  <c r="E198" i="2"/>
  <c r="G198" i="2" s="1"/>
  <c r="H198" i="2" s="1"/>
  <c r="I198" i="2" s="1"/>
  <c r="J198" i="2" s="1"/>
  <c r="E231" i="2"/>
  <c r="G231" i="2" s="1"/>
  <c r="H231" i="2" s="1"/>
  <c r="I231" i="2" s="1"/>
  <c r="J231" i="2" s="1"/>
  <c r="E277" i="2"/>
  <c r="G277" i="2" s="1"/>
  <c r="H277" i="2" s="1"/>
  <c r="I277" i="2" s="1"/>
  <c r="J277" i="2" s="1"/>
  <c r="C94" i="2"/>
  <c r="C95" i="2"/>
  <c r="C133" i="2"/>
  <c r="E160" i="2"/>
  <c r="G160" i="2" s="1"/>
  <c r="H160" i="2" s="1"/>
  <c r="I160" i="2" s="1"/>
  <c r="J160" i="2" s="1"/>
  <c r="C179" i="2"/>
  <c r="E210" i="2"/>
  <c r="G210" i="2" s="1"/>
  <c r="H210" i="2" s="1"/>
  <c r="I210" i="2" s="1"/>
  <c r="J210" i="2" s="1"/>
  <c r="E249" i="2"/>
  <c r="G249" i="2" s="1"/>
  <c r="H249" i="2" s="1"/>
  <c r="I249" i="2" s="1"/>
  <c r="J249" i="2" s="1"/>
  <c r="G30" i="2"/>
  <c r="H30" i="2" s="1"/>
  <c r="I30" i="2" s="1"/>
  <c r="J30" i="2" s="1"/>
  <c r="G65" i="2"/>
  <c r="H65" i="2" s="1"/>
  <c r="I65" i="2" s="1"/>
  <c r="J65" i="2" s="1"/>
  <c r="G23" i="2"/>
  <c r="H23" i="2" s="1"/>
  <c r="I23" i="2" s="1"/>
  <c r="J23" i="2" s="1"/>
  <c r="C102" i="2"/>
  <c r="C105" i="2"/>
  <c r="C114" i="2"/>
  <c r="C129" i="2"/>
  <c r="C166" i="2"/>
  <c r="C175" i="2"/>
  <c r="E189" i="2"/>
  <c r="G189" i="2" s="1"/>
  <c r="H189" i="2" s="1"/>
  <c r="I189" i="2" s="1"/>
  <c r="J189" i="2" s="1"/>
  <c r="E193" i="2"/>
  <c r="G193" i="2" s="1"/>
  <c r="H193" i="2" s="1"/>
  <c r="I193" i="2" s="1"/>
  <c r="J193" i="2" s="1"/>
  <c r="C195" i="2"/>
  <c r="C212" i="2"/>
  <c r="E214" i="2"/>
  <c r="G214" i="2" s="1"/>
  <c r="H214" i="2" s="1"/>
  <c r="I214" i="2" s="1"/>
  <c r="J214" i="2" s="1"/>
  <c r="C216" i="2"/>
  <c r="E245" i="2"/>
  <c r="G245" i="2" s="1"/>
  <c r="H245" i="2" s="1"/>
  <c r="I245" i="2" s="1"/>
  <c r="J245" i="2" s="1"/>
  <c r="E253" i="2"/>
  <c r="G253" i="2" s="1"/>
  <c r="H253" i="2" s="1"/>
  <c r="I253" i="2" s="1"/>
  <c r="J253" i="2" s="1"/>
  <c r="E270" i="2"/>
  <c r="G270" i="2" s="1"/>
  <c r="H270" i="2" s="1"/>
  <c r="I270" i="2" s="1"/>
  <c r="J270" i="2" s="1"/>
  <c r="E288" i="2"/>
  <c r="G288" i="2" s="1"/>
  <c r="H288" i="2" s="1"/>
  <c r="I288" i="2" s="1"/>
  <c r="J288" i="2" s="1"/>
  <c r="E297" i="2"/>
  <c r="G297" i="2" s="1"/>
  <c r="H297" i="2" s="1"/>
  <c r="I297" i="2" s="1"/>
  <c r="J297" i="2" s="1"/>
  <c r="C252" i="2"/>
  <c r="C278" i="2"/>
  <c r="E302" i="2"/>
  <c r="G302" i="2" s="1"/>
  <c r="H302" i="2" s="1"/>
  <c r="I302" i="2" s="1"/>
  <c r="J302" i="2" s="1"/>
  <c r="G25" i="2"/>
  <c r="H25" i="2" s="1"/>
  <c r="I25" i="2" s="1"/>
  <c r="J25" i="2" s="1"/>
  <c r="E39" i="2"/>
  <c r="G39" i="2" s="1"/>
  <c r="H39" i="2" s="1"/>
  <c r="I39" i="2" s="1"/>
  <c r="J39" i="2" s="1"/>
  <c r="E179" i="2"/>
  <c r="G179" i="2" s="1"/>
  <c r="H179" i="2" s="1"/>
  <c r="I179" i="2" s="1"/>
  <c r="J179" i="2" s="1"/>
  <c r="E191" i="2"/>
  <c r="G191" i="2" s="1"/>
  <c r="H191" i="2" s="1"/>
  <c r="I191" i="2" s="1"/>
  <c r="J191" i="2" s="1"/>
  <c r="E243" i="2"/>
  <c r="G243" i="2" s="1"/>
  <c r="H243" i="2" s="1"/>
  <c r="I243" i="2" s="1"/>
  <c r="J243" i="2" s="1"/>
  <c r="F95" i="2"/>
  <c r="G95" i="2" s="1"/>
  <c r="H95" i="2" s="1"/>
  <c r="I95" i="2" s="1"/>
  <c r="J95" i="2" s="1"/>
  <c r="E132" i="2"/>
  <c r="G132" i="2" s="1"/>
  <c r="H132" i="2" s="1"/>
  <c r="I132" i="2" s="1"/>
  <c r="J132" i="2" s="1"/>
  <c r="E211" i="2"/>
  <c r="G211" i="2" s="1"/>
  <c r="H211" i="2" s="1"/>
  <c r="I211" i="2" s="1"/>
  <c r="J211" i="2" s="1"/>
  <c r="E246" i="2"/>
  <c r="G246" i="2" s="1"/>
  <c r="H246" i="2" s="1"/>
  <c r="I246" i="2" s="1"/>
  <c r="J246" i="2" s="1"/>
  <c r="E276" i="2"/>
  <c r="G276" i="2" s="1"/>
  <c r="H276" i="2" s="1"/>
  <c r="I276" i="2" s="1"/>
  <c r="J276" i="2" s="1"/>
  <c r="C300" i="2"/>
  <c r="G22" i="2"/>
  <c r="H22" i="2" s="1"/>
  <c r="I22" i="2" s="1"/>
  <c r="J22" i="2" s="1"/>
  <c r="E261" i="2"/>
  <c r="G261" i="2" s="1"/>
  <c r="H261" i="2" s="1"/>
  <c r="I261" i="2" s="1"/>
  <c r="J261" i="2" s="1"/>
  <c r="G21" i="2"/>
  <c r="H21" i="2" s="1"/>
  <c r="I21" i="2" s="1"/>
  <c r="J21" i="2" s="1"/>
  <c r="G34" i="2"/>
  <c r="H34" i="2" s="1"/>
  <c r="I34" i="2" s="1"/>
  <c r="J34" i="2" s="1"/>
  <c r="G44" i="2"/>
  <c r="H44" i="2" s="1"/>
  <c r="I44" i="2" s="1"/>
  <c r="J44" i="2" s="1"/>
  <c r="G67" i="2"/>
  <c r="H67" i="2" s="1"/>
  <c r="I67" i="2" s="1"/>
  <c r="J67" i="2" s="1"/>
  <c r="E129" i="2"/>
  <c r="G129" i="2" s="1"/>
  <c r="H129" i="2" s="1"/>
  <c r="I129" i="2" s="1"/>
  <c r="J129" i="2" s="1"/>
  <c r="E143" i="2"/>
  <c r="G143" i="2" s="1"/>
  <c r="H143" i="2" s="1"/>
  <c r="I143" i="2" s="1"/>
  <c r="J143" i="2" s="1"/>
  <c r="E195" i="2"/>
  <c r="G195" i="2" s="1"/>
  <c r="H195" i="2" s="1"/>
  <c r="I195" i="2" s="1"/>
  <c r="J195" i="2" s="1"/>
  <c r="E212" i="2"/>
  <c r="G212" i="2" s="1"/>
  <c r="H212" i="2" s="1"/>
  <c r="I212" i="2" s="1"/>
  <c r="J212" i="2" s="1"/>
  <c r="E251" i="2"/>
  <c r="G251" i="2" s="1"/>
  <c r="H251" i="2" s="1"/>
  <c r="I251" i="2" s="1"/>
  <c r="J251" i="2" s="1"/>
  <c r="E268" i="2"/>
  <c r="G268" i="2" s="1"/>
  <c r="H268" i="2" s="1"/>
  <c r="I268" i="2" s="1"/>
  <c r="J268" i="2" s="1"/>
  <c r="E286" i="2"/>
  <c r="G286" i="2" s="1"/>
  <c r="H286" i="2" s="1"/>
  <c r="I286" i="2" s="1"/>
  <c r="J286" i="2" s="1"/>
  <c r="G299" i="2"/>
  <c r="H299" i="2" s="1"/>
  <c r="I299" i="2" s="1"/>
  <c r="J299" i="2" s="1"/>
  <c r="E256" i="2"/>
  <c r="G256" i="2" s="1"/>
  <c r="H256" i="2" s="1"/>
  <c r="I256" i="2" s="1"/>
  <c r="J256" i="2" s="1"/>
  <c r="E272" i="2"/>
  <c r="G272" i="2" s="1"/>
  <c r="H272" i="2" s="1"/>
  <c r="I272" i="2" s="1"/>
  <c r="J272" i="2" s="1"/>
  <c r="E290" i="2"/>
  <c r="G290" i="2" s="1"/>
  <c r="H290" i="2" s="1"/>
  <c r="I290" i="2" s="1"/>
  <c r="J290" i="2" s="1"/>
  <c r="G59" i="2"/>
  <c r="H59" i="2" s="1"/>
  <c r="I59" i="2" s="1"/>
  <c r="J59" i="2" s="1"/>
  <c r="F103" i="2"/>
  <c r="G103" i="2" s="1"/>
  <c r="H103" i="2" s="1"/>
  <c r="I103" i="2" s="1"/>
  <c r="J103" i="2" s="1"/>
  <c r="E250" i="2"/>
  <c r="G250" i="2" s="1"/>
  <c r="H250" i="2" s="1"/>
  <c r="I250" i="2" s="1"/>
  <c r="J250" i="2" s="1"/>
  <c r="C257" i="2"/>
  <c r="C265" i="2"/>
  <c r="C269" i="2"/>
  <c r="E289" i="2"/>
  <c r="G289" i="2" s="1"/>
  <c r="H289" i="2" s="1"/>
  <c r="I289" i="2" s="1"/>
  <c r="J289" i="2" s="1"/>
  <c r="G18" i="2"/>
  <c r="H18" i="2" s="1"/>
  <c r="I18" i="2" s="1"/>
  <c r="J18" i="2" s="1"/>
  <c r="E167" i="2"/>
  <c r="G167" i="2" s="1"/>
  <c r="H167" i="2" s="1"/>
  <c r="I167" i="2" s="1"/>
  <c r="J167" i="2" s="1"/>
  <c r="E188" i="2"/>
  <c r="G188" i="2" s="1"/>
  <c r="H188" i="2" s="1"/>
  <c r="I188" i="2" s="1"/>
  <c r="J188" i="2" s="1"/>
  <c r="E257" i="2"/>
  <c r="G257" i="2" s="1"/>
  <c r="H257" i="2" s="1"/>
  <c r="I257" i="2" s="1"/>
  <c r="J257" i="2" s="1"/>
  <c r="E47" i="2"/>
  <c r="G47" i="2" s="1"/>
  <c r="H47" i="2" s="1"/>
  <c r="I47" i="2" s="1"/>
  <c r="J47" i="2" s="1"/>
  <c r="C90" i="2"/>
  <c r="C93" i="2"/>
  <c r="C98" i="2"/>
  <c r="C99" i="2"/>
  <c r="C101" i="2"/>
  <c r="C107" i="2"/>
  <c r="E127" i="2"/>
  <c r="G127" i="2" s="1"/>
  <c r="H127" i="2" s="1"/>
  <c r="I127" i="2" s="1"/>
  <c r="J127" i="2" s="1"/>
  <c r="E141" i="2"/>
  <c r="G141" i="2" s="1"/>
  <c r="H141" i="2" s="1"/>
  <c r="I141" i="2" s="1"/>
  <c r="J141" i="2" s="1"/>
  <c r="E145" i="2"/>
  <c r="G145" i="2" s="1"/>
  <c r="H145" i="2" s="1"/>
  <c r="I145" i="2" s="1"/>
  <c r="J145" i="2" s="1"/>
  <c r="C162" i="2"/>
  <c r="E164" i="2"/>
  <c r="G164" i="2" s="1"/>
  <c r="H164" i="2" s="1"/>
  <c r="I164" i="2" s="1"/>
  <c r="J164" i="2" s="1"/>
  <c r="E177" i="2"/>
  <c r="G177" i="2" s="1"/>
  <c r="H177" i="2" s="1"/>
  <c r="I177" i="2" s="1"/>
  <c r="J177" i="2" s="1"/>
  <c r="E185" i="2"/>
  <c r="G185" i="2" s="1"/>
  <c r="H185" i="2" s="1"/>
  <c r="I185" i="2" s="1"/>
  <c r="J185" i="2" s="1"/>
  <c r="E201" i="2"/>
  <c r="G201" i="2" s="1"/>
  <c r="H201" i="2" s="1"/>
  <c r="I201" i="2" s="1"/>
  <c r="J201" i="2" s="1"/>
  <c r="E217" i="2"/>
  <c r="G217" i="2" s="1"/>
  <c r="H217" i="2" s="1"/>
  <c r="I217" i="2" s="1"/>
  <c r="J217" i="2" s="1"/>
  <c r="E279" i="2"/>
  <c r="G279" i="2" s="1"/>
  <c r="H279" i="2" s="1"/>
  <c r="I279" i="2" s="1"/>
  <c r="J279" i="2" s="1"/>
  <c r="C92" i="2"/>
  <c r="C96" i="2"/>
  <c r="C100" i="2"/>
  <c r="C104" i="2"/>
  <c r="C106" i="2"/>
  <c r="E135" i="2"/>
  <c r="G135" i="2" s="1"/>
  <c r="H135" i="2" s="1"/>
  <c r="I135" i="2" s="1"/>
  <c r="J135" i="2" s="1"/>
  <c r="C137" i="2"/>
  <c r="E173" i="2"/>
  <c r="G173" i="2" s="1"/>
  <c r="H173" i="2" s="1"/>
  <c r="I173" i="2" s="1"/>
  <c r="J173" i="2" s="1"/>
  <c r="E181" i="2"/>
  <c r="G181" i="2" s="1"/>
  <c r="H181" i="2" s="1"/>
  <c r="I181" i="2" s="1"/>
  <c r="J181" i="2" s="1"/>
  <c r="C183" i="2"/>
  <c r="E197" i="2"/>
  <c r="G197" i="2" s="1"/>
  <c r="H197" i="2" s="1"/>
  <c r="I197" i="2" s="1"/>
  <c r="J197" i="2" s="1"/>
  <c r="C199" i="2"/>
  <c r="E241" i="2"/>
  <c r="G241" i="2" s="1"/>
  <c r="H241" i="2" s="1"/>
  <c r="I241" i="2" s="1"/>
  <c r="J241" i="2" s="1"/>
  <c r="E258" i="2"/>
  <c r="G258" i="2" s="1"/>
  <c r="H258" i="2" s="1"/>
  <c r="I258" i="2" s="1"/>
  <c r="J258" i="2" s="1"/>
  <c r="E275" i="2"/>
  <c r="G275" i="2" s="1"/>
  <c r="H275" i="2" s="1"/>
  <c r="I275" i="2" s="1"/>
  <c r="J275" i="2" s="1"/>
  <c r="E301" i="2"/>
  <c r="G301" i="2" s="1"/>
  <c r="H301" i="2" s="1"/>
  <c r="I301" i="2" s="1"/>
  <c r="J301" i="2" s="1"/>
  <c r="E133" i="2"/>
  <c r="G133" i="2" s="1"/>
  <c r="H133" i="2" s="1"/>
  <c r="I133" i="2" s="1"/>
  <c r="J133" i="2" s="1"/>
  <c r="E153" i="2"/>
  <c r="G153" i="2" s="1"/>
  <c r="H153" i="2" s="1"/>
  <c r="I153" i="2" s="1"/>
  <c r="J153" i="2" s="1"/>
  <c r="E183" i="2"/>
  <c r="G183" i="2" s="1"/>
  <c r="H183" i="2" s="1"/>
  <c r="I183" i="2" s="1"/>
  <c r="J183" i="2" s="1"/>
  <c r="E187" i="2"/>
  <c r="G187" i="2" s="1"/>
  <c r="H187" i="2" s="1"/>
  <c r="I187" i="2" s="1"/>
  <c r="J187" i="2" s="1"/>
  <c r="G71" i="2"/>
  <c r="H71" i="2" s="1"/>
  <c r="I71" i="2" s="1"/>
  <c r="J71" i="2" s="1"/>
  <c r="E126" i="2"/>
  <c r="G126" i="2" s="1"/>
  <c r="H126" i="2" s="1"/>
  <c r="I126" i="2" s="1"/>
  <c r="J126" i="2" s="1"/>
  <c r="C128" i="2"/>
  <c r="E134" i="2"/>
  <c r="G134" i="2" s="1"/>
  <c r="H134" i="2" s="1"/>
  <c r="I134" i="2" s="1"/>
  <c r="J134" i="2" s="1"/>
  <c r="E154" i="2"/>
  <c r="G154" i="2" s="1"/>
  <c r="H154" i="2" s="1"/>
  <c r="I154" i="2" s="1"/>
  <c r="J154" i="2" s="1"/>
  <c r="E163" i="2"/>
  <c r="G163" i="2" s="1"/>
  <c r="H163" i="2" s="1"/>
  <c r="I163" i="2" s="1"/>
  <c r="J163" i="2" s="1"/>
  <c r="C165" i="2"/>
  <c r="E180" i="2"/>
  <c r="G180" i="2" s="1"/>
  <c r="H180" i="2" s="1"/>
  <c r="I180" i="2" s="1"/>
  <c r="J180" i="2" s="1"/>
  <c r="E184" i="2"/>
  <c r="G184" i="2" s="1"/>
  <c r="H184" i="2" s="1"/>
  <c r="I184" i="2" s="1"/>
  <c r="J184" i="2" s="1"/>
  <c r="E196" i="2"/>
  <c r="G196" i="2" s="1"/>
  <c r="H196" i="2" s="1"/>
  <c r="I196" i="2" s="1"/>
  <c r="J196" i="2" s="1"/>
  <c r="E200" i="2"/>
  <c r="G200" i="2" s="1"/>
  <c r="H200" i="2" s="1"/>
  <c r="I200" i="2" s="1"/>
  <c r="J200" i="2" s="1"/>
  <c r="E213" i="2"/>
  <c r="G213" i="2" s="1"/>
  <c r="H213" i="2" s="1"/>
  <c r="I213" i="2" s="1"/>
  <c r="J213" i="2" s="1"/>
  <c r="E216" i="2"/>
  <c r="G216" i="2" s="1"/>
  <c r="H216" i="2" s="1"/>
  <c r="I216" i="2" s="1"/>
  <c r="J216" i="2" s="1"/>
  <c r="E248" i="2"/>
  <c r="G248" i="2" s="1"/>
  <c r="H248" i="2" s="1"/>
  <c r="I248" i="2" s="1"/>
  <c r="J248" i="2" s="1"/>
  <c r="E252" i="2"/>
  <c r="G252" i="2" s="1"/>
  <c r="H252" i="2" s="1"/>
  <c r="I252" i="2" s="1"/>
  <c r="J252" i="2" s="1"/>
  <c r="E269" i="2"/>
  <c r="G269" i="2" s="1"/>
  <c r="H269" i="2" s="1"/>
  <c r="I269" i="2" s="1"/>
  <c r="J269" i="2" s="1"/>
  <c r="E273" i="2"/>
  <c r="G273" i="2" s="1"/>
  <c r="H273" i="2" s="1"/>
  <c r="I273" i="2" s="1"/>
  <c r="J273" i="2" s="1"/>
  <c r="E296" i="2"/>
  <c r="G296" i="2" s="1"/>
  <c r="H296" i="2" s="1"/>
  <c r="I296" i="2" s="1"/>
  <c r="J296" i="2" s="1"/>
  <c r="C302" i="2"/>
  <c r="E14" i="2"/>
  <c r="G31" i="2"/>
  <c r="H31" i="2" s="1"/>
  <c r="I31" i="2" s="1"/>
  <c r="J31" i="2" s="1"/>
  <c r="G56" i="2"/>
  <c r="H56" i="2" s="1"/>
  <c r="I56" i="2" s="1"/>
  <c r="J56" i="2" s="1"/>
  <c r="E230" i="2"/>
  <c r="G230" i="2" s="1"/>
  <c r="H230" i="2" s="1"/>
  <c r="I230" i="2" s="1"/>
  <c r="J230" i="2" s="1"/>
  <c r="E161" i="2"/>
  <c r="G161" i="2" s="1"/>
  <c r="H161" i="2" s="1"/>
  <c r="I161" i="2" s="1"/>
  <c r="J161" i="2" s="1"/>
  <c r="E162" i="2"/>
  <c r="G162" i="2" s="1"/>
  <c r="H162" i="2" s="1"/>
  <c r="I162" i="2" s="1"/>
  <c r="J162" i="2" s="1"/>
  <c r="E175" i="2"/>
  <c r="G175" i="2" s="1"/>
  <c r="H175" i="2" s="1"/>
  <c r="I175" i="2" s="1"/>
  <c r="J175" i="2" s="1"/>
  <c r="E203" i="2"/>
  <c r="G203" i="2" s="1"/>
  <c r="H203" i="2" s="1"/>
  <c r="I203" i="2" s="1"/>
  <c r="J203" i="2" s="1"/>
  <c r="C290" i="2"/>
  <c r="E307" i="3"/>
  <c r="E312" i="3" s="1"/>
  <c r="C148" i="3"/>
  <c r="E142" i="2"/>
  <c r="G142" i="2" s="1"/>
  <c r="H142" i="2" s="1"/>
  <c r="I142" i="2" s="1"/>
  <c r="J142" i="2" s="1"/>
  <c r="G114" i="2"/>
  <c r="H114" i="2" s="1"/>
  <c r="I114" i="2" s="1"/>
  <c r="J114" i="2" s="1"/>
  <c r="G69" i="2"/>
  <c r="H69" i="2" s="1"/>
  <c r="I69" i="2" s="1"/>
  <c r="J69" i="2" s="1"/>
  <c r="G73" i="2"/>
  <c r="H73" i="2" s="1"/>
  <c r="I73" i="2" s="1"/>
  <c r="J73" i="2" s="1"/>
  <c r="E130" i="2"/>
  <c r="G130" i="2" s="1"/>
  <c r="H130" i="2" s="1"/>
  <c r="I130" i="2" s="1"/>
  <c r="J130" i="2" s="1"/>
  <c r="E138" i="2"/>
  <c r="G138" i="2" s="1"/>
  <c r="H138" i="2" s="1"/>
  <c r="I138" i="2" s="1"/>
  <c r="J138" i="2" s="1"/>
  <c r="E209" i="2"/>
  <c r="G209" i="2" s="1"/>
  <c r="H209" i="2" s="1"/>
  <c r="I209" i="2" s="1"/>
  <c r="J209" i="2" s="1"/>
  <c r="E148" i="1"/>
  <c r="E312" i="1" s="1"/>
  <c r="G115" i="2"/>
  <c r="H115" i="2" s="1"/>
  <c r="I115" i="2" s="1"/>
  <c r="J115" i="2" s="1"/>
  <c r="C81" i="2"/>
  <c r="C84" i="2" s="1"/>
  <c r="C127" i="2"/>
  <c r="C131" i="2"/>
  <c r="C135" i="2"/>
  <c r="C141" i="2"/>
  <c r="C145" i="2"/>
  <c r="C164" i="2"/>
  <c r="C173" i="2"/>
  <c r="C177" i="2"/>
  <c r="C181" i="2"/>
  <c r="C185" i="2"/>
  <c r="C189" i="2"/>
  <c r="C193" i="2"/>
  <c r="C197" i="2"/>
  <c r="C201" i="2"/>
  <c r="C210" i="2"/>
  <c r="C214" i="2"/>
  <c r="C217" i="2"/>
  <c r="C230" i="2"/>
  <c r="C242" i="2"/>
  <c r="C246" i="2"/>
  <c r="C250" i="2"/>
  <c r="C254" i="2"/>
  <c r="C259" i="2"/>
  <c r="C263" i="2"/>
  <c r="C267" i="2"/>
  <c r="C271" i="2"/>
  <c r="C276" i="2"/>
  <c r="C280" i="2"/>
  <c r="C289" i="2"/>
  <c r="C298" i="2"/>
  <c r="C160" i="2"/>
  <c r="E109" i="2"/>
  <c r="C213" i="2"/>
  <c r="C245" i="2"/>
  <c r="C253" i="2"/>
  <c r="C262" i="2"/>
  <c r="C270" i="2"/>
  <c r="C279" i="2"/>
  <c r="D109" i="2"/>
  <c r="C103" i="2"/>
  <c r="C287" i="2"/>
  <c r="C14" i="2"/>
  <c r="C39" i="2"/>
  <c r="C115" i="2"/>
  <c r="C126" i="2"/>
  <c r="C130" i="2"/>
  <c r="C134" i="2"/>
  <c r="C138" i="2"/>
  <c r="C154" i="2"/>
  <c r="C163" i="2"/>
  <c r="C167" i="2"/>
  <c r="C176" i="2"/>
  <c r="C184" i="2"/>
  <c r="C192" i="2"/>
  <c r="C200" i="2"/>
  <c r="C209" i="2"/>
  <c r="C241" i="2"/>
  <c r="C249" i="2"/>
  <c r="C258" i="2"/>
  <c r="C266" i="2"/>
  <c r="C275" i="2"/>
  <c r="C288" i="2"/>
  <c r="C297" i="2"/>
  <c r="C301" i="2"/>
  <c r="C28" i="2"/>
  <c r="C42" i="2"/>
  <c r="C47" i="2"/>
  <c r="C132" i="2"/>
  <c r="C142" i="2"/>
  <c r="C146" i="2"/>
  <c r="C161" i="2"/>
  <c r="C174" i="2"/>
  <c r="C178" i="2"/>
  <c r="C182" i="2"/>
  <c r="C186" i="2"/>
  <c r="C190" i="2"/>
  <c r="C194" i="2"/>
  <c r="C198" i="2"/>
  <c r="C202" i="2"/>
  <c r="C211" i="2"/>
  <c r="C215" i="2"/>
  <c r="C231" i="2"/>
  <c r="C237" i="2"/>
  <c r="C243" i="2"/>
  <c r="C247" i="2"/>
  <c r="C251" i="2"/>
  <c r="C256" i="2"/>
  <c r="C260" i="2"/>
  <c r="C264" i="2"/>
  <c r="C268" i="2"/>
  <c r="C272" i="2"/>
  <c r="C277" i="2"/>
  <c r="C286" i="2"/>
  <c r="C299" i="2"/>
  <c r="E50" i="2" l="1"/>
  <c r="C50" i="2"/>
  <c r="E55" i="2"/>
  <c r="E61" i="2"/>
  <c r="E68" i="2"/>
  <c r="C76" i="2"/>
  <c r="E84" i="2"/>
  <c r="L24" i="2"/>
  <c r="H94" i="2"/>
  <c r="I94" i="2" s="1"/>
  <c r="J94" i="2" s="1"/>
  <c r="G84" i="2"/>
  <c r="H84" i="2" s="1"/>
  <c r="I84" i="2" s="1"/>
  <c r="J84" i="2" s="1"/>
  <c r="G82" i="2"/>
  <c r="H82" i="2" s="1"/>
  <c r="I82" i="2" s="1"/>
  <c r="J82" i="2" s="1"/>
  <c r="H91" i="2"/>
  <c r="I91" i="2" s="1"/>
  <c r="J91" i="2" s="1"/>
  <c r="H102" i="2"/>
  <c r="I102" i="2" s="1"/>
  <c r="J102" i="2" s="1"/>
  <c r="C168" i="2"/>
  <c r="E232" i="2"/>
  <c r="G232" i="2" s="1"/>
  <c r="H232" i="2" s="1"/>
  <c r="I232" i="2" s="1"/>
  <c r="J232" i="2" s="1"/>
  <c r="E155" i="2"/>
  <c r="G155" i="2" s="1"/>
  <c r="H155" i="2" s="1"/>
  <c r="I155" i="2" s="1"/>
  <c r="J155" i="2" s="1"/>
  <c r="F109" i="2"/>
  <c r="G109" i="2" s="1"/>
  <c r="H109" i="2" s="1"/>
  <c r="I109" i="2" s="1"/>
  <c r="J109" i="2" s="1"/>
  <c r="E303" i="2"/>
  <c r="G303" i="2" s="1"/>
  <c r="H303" i="2" s="1"/>
  <c r="I303" i="2" s="1"/>
  <c r="J303" i="2" s="1"/>
  <c r="E204" i="2"/>
  <c r="G204" i="2" s="1"/>
  <c r="H204" i="2" s="1"/>
  <c r="I204" i="2" s="1"/>
  <c r="J204" i="2" s="1"/>
  <c r="E218" i="2"/>
  <c r="G218" i="2" s="1"/>
  <c r="H218" i="2" s="1"/>
  <c r="I218" i="2" s="1"/>
  <c r="J218" i="2" s="1"/>
  <c r="E281" i="2"/>
  <c r="G281" i="2" s="1"/>
  <c r="H281" i="2" s="1"/>
  <c r="I281" i="2" s="1"/>
  <c r="J281" i="2" s="1"/>
  <c r="E291" i="2"/>
  <c r="G291" i="2" s="1"/>
  <c r="H291" i="2" s="1"/>
  <c r="I291" i="2" s="1"/>
  <c r="J291" i="2" s="1"/>
  <c r="E76" i="2"/>
  <c r="E147" i="2"/>
  <c r="G147" i="2" s="1"/>
  <c r="H147" i="2" s="1"/>
  <c r="I147" i="2" s="1"/>
  <c r="J147" i="2" s="1"/>
  <c r="G68" i="2"/>
  <c r="H68" i="2" s="1"/>
  <c r="I68" i="2" s="1"/>
  <c r="J68" i="2" s="1"/>
  <c r="G50" i="2"/>
  <c r="H50" i="2" s="1"/>
  <c r="I50" i="2" s="1"/>
  <c r="J50" i="2" s="1"/>
  <c r="E168" i="2"/>
  <c r="G168" i="2" s="1"/>
  <c r="H168" i="2" s="1"/>
  <c r="I168" i="2" s="1"/>
  <c r="J168" i="2" s="1"/>
  <c r="E139" i="2"/>
  <c r="G139" i="2" s="1"/>
  <c r="H139" i="2" s="1"/>
  <c r="I139" i="2" s="1"/>
  <c r="J139" i="2" s="1"/>
  <c r="G116" i="2"/>
  <c r="H116" i="2" s="1"/>
  <c r="I116" i="2" s="1"/>
  <c r="J116" i="2" s="1"/>
  <c r="E307" i="2"/>
  <c r="C139" i="2"/>
  <c r="C281" i="2"/>
  <c r="C204" i="2"/>
  <c r="C218" i="2"/>
  <c r="C147" i="2"/>
  <c r="C155" i="2"/>
  <c r="C116" i="2"/>
  <c r="C291" i="2"/>
  <c r="C109" i="2"/>
  <c r="C232" i="2"/>
  <c r="G55" i="2" l="1"/>
  <c r="H55" i="2" s="1"/>
  <c r="I55" i="2" s="1"/>
  <c r="J55" i="2" s="1"/>
  <c r="G61" i="2"/>
  <c r="H61" i="2" s="1"/>
  <c r="I61" i="2" s="1"/>
  <c r="J61" i="2" s="1"/>
  <c r="G76" i="2"/>
  <c r="H76" i="2" s="1"/>
  <c r="I76" i="2" s="1"/>
  <c r="J76" i="2" s="1"/>
  <c r="C148" i="2"/>
  <c r="E148" i="2"/>
  <c r="G148" i="2" s="1"/>
  <c r="H148" i="2" s="1"/>
  <c r="I148" i="2" s="1"/>
  <c r="J148" i="2" s="1"/>
  <c r="E312" i="2"/>
  <c r="G307" i="2"/>
  <c r="H307" i="2" s="1"/>
  <c r="I307" i="2" s="1"/>
  <c r="J307" i="2" s="1"/>
  <c r="G312" i="2" l="1"/>
  <c r="H312" i="2" s="1"/>
  <c r="I312" i="2" s="1"/>
  <c r="J312" i="2" s="1"/>
  <c r="G314" i="2"/>
</calcChain>
</file>

<file path=xl/sharedStrings.xml><?xml version="1.0" encoding="utf-8"?>
<sst xmlns="http://schemas.openxmlformats.org/spreadsheetml/2006/main" count="7060" uniqueCount="485">
  <si>
    <t>SERVICIO DE SALUD</t>
  </si>
  <si>
    <t>IDENTIFICACION</t>
  </si>
  <si>
    <t>Mes de Facturación</t>
  </si>
  <si>
    <t>Año de Facturación</t>
  </si>
  <si>
    <t>REM0  -  FACTURACION  PAGO  POR  PRESTACIONES INSTITUCIONALES</t>
  </si>
  <si>
    <t>Establecimiento</t>
  </si>
  <si>
    <t>(P.P.I.)</t>
  </si>
  <si>
    <t>SECCION A: ATENCIONES ABIERTAS (REM 01, 02, 03, 04, 05, 06, 07 y 08)</t>
  </si>
  <si>
    <t>CODIGOS</t>
  </si>
  <si>
    <t>IDENTIFICACION DE PRESTACIONES</t>
  </si>
  <si>
    <t>PRESTACIONES BENEFICIARIOS LEY 18.469</t>
  </si>
  <si>
    <t>ARANCEL UNITARIO ($)</t>
  </si>
  <si>
    <t>PAGO POR PRESTACIONES ($)</t>
  </si>
  <si>
    <t>CONSULTAS Y ATENCION MEDICA</t>
  </si>
  <si>
    <t>0101101</t>
  </si>
  <si>
    <t>Consulta o control médico integral en atención primaria</t>
  </si>
  <si>
    <t>0101102</t>
  </si>
  <si>
    <t>Consulta o control médico integral en especialidades (Hosp. tipo 3)</t>
  </si>
  <si>
    <t>0101103</t>
  </si>
  <si>
    <t>Consulta médica integral en servicio de urgencia (Hosp. tipo 1)</t>
  </si>
  <si>
    <t>0101104</t>
  </si>
  <si>
    <t>Consulta médica integral en C.R.S.</t>
  </si>
  <si>
    <t>0101105</t>
  </si>
  <si>
    <t>Consulta médica integral en servicio de urgencia (Hosp. tipo 2 y 3)</t>
  </si>
  <si>
    <t>0101108</t>
  </si>
  <si>
    <t>Consulta integral de especialidades en Cirugía, Ginecología y Obstetricia, Ortopedia y Traumatología (en C.D.T.)</t>
  </si>
  <si>
    <t>0101109</t>
  </si>
  <si>
    <t>Consulta integral de especialidades en Urología, Otorrinolaringología, Medicina Fisica y Rehabilitación, Dermatología, Pediatría y Subespecialidades (en C.D.T)</t>
  </si>
  <si>
    <t>0101110</t>
  </si>
  <si>
    <t>Consulta integral de especialidades en Medicina Interna y Subespecialidades, Oftalmología, Neurología (en C.D.T.)</t>
  </si>
  <si>
    <t>0101111</t>
  </si>
  <si>
    <t>Consulta integral de especialidades en Cirugía, Ginecología y Obstetricia, Ortopedia y Traumatología (en Hospitales tipo 1 y 2)</t>
  </si>
  <si>
    <t>0101112</t>
  </si>
  <si>
    <t>Consulta integral de especialidades en Urología, Otorrinolaringología, Medicina Fisica y Rehabilitación, Dermatología, Pediatría y Subespecialidades (en Hospitales tipo 1 y 2)</t>
  </si>
  <si>
    <t>0101113</t>
  </si>
  <si>
    <t>Consulta integral de especialidades en Medicina Interna y Subespecialidades, Oftalmología, Neurología (en Hospitales tipo 1 y 2)</t>
  </si>
  <si>
    <t>0903001</t>
  </si>
  <si>
    <t>Consulta de psiquiatría</t>
  </si>
  <si>
    <t>0903006</t>
  </si>
  <si>
    <t>Consultoría de salud mental por psiquiatra (sesión 4 hrs.) (mínimo 8 pacientes)</t>
  </si>
  <si>
    <t>CONSULTAS POR OTROS PROFESIONALES DE LA SALUD</t>
  </si>
  <si>
    <t>0102001</t>
  </si>
  <si>
    <t>Consulta o control por enfermera, matrona o nutricionista</t>
  </si>
  <si>
    <t>0102002</t>
  </si>
  <si>
    <t>Control de salud niño con EDP por enfermera</t>
  </si>
  <si>
    <t>0102003</t>
  </si>
  <si>
    <t>Consulta o control por auxiliar de enfermería</t>
  </si>
  <si>
    <t>0102005</t>
  </si>
  <si>
    <t>Consulta por fonoaudiólogo</t>
  </si>
  <si>
    <t>0102006</t>
  </si>
  <si>
    <t>Atención kinesiológica integral ambulatoria</t>
  </si>
  <si>
    <t>0102007</t>
  </si>
  <si>
    <t>Atención integral por terapeuta ocupacional</t>
  </si>
  <si>
    <t>0903002</t>
  </si>
  <si>
    <t>Consulta o control psicológico clínico</t>
  </si>
  <si>
    <t>0903003</t>
  </si>
  <si>
    <t>Consulta de salud mental por otros profesionales</t>
  </si>
  <si>
    <t>0903004</t>
  </si>
  <si>
    <t>Intervención psicosocial grupal (4 a 8 pacientes, familiares o cuidadores)</t>
  </si>
  <si>
    <t>0903005</t>
  </si>
  <si>
    <t>Psicoterapia de grupo (por psicólogo o psiquiatra) (4 a 8 pacientes)</t>
  </si>
  <si>
    <t>PROGRAMAS DE REHABILITACION</t>
  </si>
  <si>
    <t>0903007</t>
  </si>
  <si>
    <t>Programa de rehabilitación tipo 1 (mensual, grupo 6 a 10 pers.)</t>
  </si>
  <si>
    <t>0903008</t>
  </si>
  <si>
    <t>Programa de rehabilitación tipo 2 (mensual, grupo 5 a 7 pers.)</t>
  </si>
  <si>
    <t>EDUCACION DE GRUPO</t>
  </si>
  <si>
    <t>0103001</t>
  </si>
  <si>
    <t>Educación de grupo por médico</t>
  </si>
  <si>
    <t>0103002</t>
  </si>
  <si>
    <t>Educación de grupo por enfermera, matrona o nutricionista</t>
  </si>
  <si>
    <t>0103003</t>
  </si>
  <si>
    <t>Educación de grupo por asistente social</t>
  </si>
  <si>
    <t>0103004</t>
  </si>
  <si>
    <t>Educación de grupo por auxiliar de enfermería</t>
  </si>
  <si>
    <t>VISITAS DOMICILIARIAS</t>
  </si>
  <si>
    <t>0104001</t>
  </si>
  <si>
    <t>Visita a domicilio por enfermera, matrona o nutricionista</t>
  </si>
  <si>
    <t>0104002</t>
  </si>
  <si>
    <t>Visita a domicilio por asistente social</t>
  </si>
  <si>
    <t>0104003</t>
  </si>
  <si>
    <t>Visita a domicilio por auxiliar de enfermería</t>
  </si>
  <si>
    <t>SUB-TOTAL FACTURACION SECCION A</t>
  </si>
  <si>
    <t>SECCION B: EXAMENES DE DIAGNOSTICO (Libro Anexo REM 17A)</t>
  </si>
  <si>
    <t>IDENTIFICACION DE EXAMENES</t>
  </si>
  <si>
    <t>03</t>
  </si>
  <si>
    <t xml:space="preserve">LABORATORIO CLINICO, TOTALES </t>
  </si>
  <si>
    <t>0301</t>
  </si>
  <si>
    <t>I HEMATOLOGICOS</t>
  </si>
  <si>
    <t>0302</t>
  </si>
  <si>
    <t>II BIOQUIMICOS</t>
  </si>
  <si>
    <t>0303</t>
  </si>
  <si>
    <t>III HORMONALES</t>
  </si>
  <si>
    <t>0304</t>
  </si>
  <si>
    <t>IV GENETICA</t>
  </si>
  <si>
    <t>0305</t>
  </si>
  <si>
    <t>V INMULOGICOS</t>
  </si>
  <si>
    <t>0306</t>
  </si>
  <si>
    <t>VI MICROBIOLOGICOS</t>
  </si>
  <si>
    <t xml:space="preserve"> a)  BACTERIA Y HONGOS</t>
  </si>
  <si>
    <t xml:space="preserve"> b)  PARASITOS</t>
  </si>
  <si>
    <t xml:space="preserve"> c)  VIRUS</t>
  </si>
  <si>
    <t>0307</t>
  </si>
  <si>
    <t>VII PROC. O DETER. DIRECTAS CON PACIENTES</t>
  </si>
  <si>
    <t>0308</t>
  </si>
  <si>
    <t>VIII DEPOSICIONES, EXUDADOS, SECRECIONES Y OTROS</t>
  </si>
  <si>
    <t>0309</t>
  </si>
  <si>
    <t>IX ORINA</t>
  </si>
  <si>
    <t>04</t>
  </si>
  <si>
    <t xml:space="preserve">IMAGENOLOGIA, TOTALES </t>
  </si>
  <si>
    <t>0401</t>
  </si>
  <si>
    <t xml:space="preserve"> EXAMENES RADIOLOGICOS SIMPLES</t>
  </si>
  <si>
    <t>0402</t>
  </si>
  <si>
    <t xml:space="preserve"> EXAMENES RADIOLOGICOS COMPLEJOS</t>
  </si>
  <si>
    <t>0403</t>
  </si>
  <si>
    <t xml:space="preserve"> TOMOGRAFIA AXIAL COMPUTARIZADA (TAC)</t>
  </si>
  <si>
    <t>0404</t>
  </si>
  <si>
    <t xml:space="preserve"> ECOTOMOGRAFIAS  sin ecografía obstétrica</t>
  </si>
  <si>
    <t>04.04.002 ECOGRAFIA OBSTETRICA</t>
  </si>
  <si>
    <t>0405</t>
  </si>
  <si>
    <t xml:space="preserve">RESONANCIA MAGNÉTICA </t>
  </si>
  <si>
    <t>0801</t>
  </si>
  <si>
    <t xml:space="preserve">ANATOMIA PATOLOGICA, TOTALES </t>
  </si>
  <si>
    <t xml:space="preserve">SUB-TOTAL FACTURACION SECCION B </t>
  </si>
  <si>
    <t>SECCION C: PROCEDIMIENTOS DE MEDICINA NUCLEAR , GINECOLOGIA Y OBSTETRICIA, Y ORTOPEDIA (Libro Anexo REM17A)</t>
  </si>
  <si>
    <t>05</t>
  </si>
  <si>
    <t>PROCEDIMIENTOS DE MEDICINA NUCLEAR</t>
  </si>
  <si>
    <t>PROCEDIMIENTOS DE GINECOLOGIA Y OBSTETRICIA</t>
  </si>
  <si>
    <t>2107</t>
  </si>
  <si>
    <t>PROCEDIMIENTOS DE ORTOPEDIA</t>
  </si>
  <si>
    <t>SUB-TOTAL FACTURACION SECCION C</t>
  </si>
  <si>
    <t>SECCION D: INTERVENCIONES QUIRURGICAS (Libro Anexo REM17A)</t>
  </si>
  <si>
    <t>INTERVENCIONES al 100%</t>
  </si>
  <si>
    <t>INTERVENCIONES al 50%</t>
  </si>
  <si>
    <t>INTERVENCIONES al 75%</t>
  </si>
  <si>
    <t>1103</t>
  </si>
  <si>
    <t>I NEUROCIRUGIA</t>
  </si>
  <si>
    <t>1202</t>
  </si>
  <si>
    <t>II CIRUGIA OFTALMOLOGICA</t>
  </si>
  <si>
    <t>1302</t>
  </si>
  <si>
    <t>III CIRUGIA OTORRINOLOGICA</t>
  </si>
  <si>
    <t>1402</t>
  </si>
  <si>
    <t>IV CIRUGIA DE CABEZA Y CUELLO</t>
  </si>
  <si>
    <t>1502</t>
  </si>
  <si>
    <t>V CIRUGIA PLASTICA Y REPARADORA</t>
  </si>
  <si>
    <t>1602</t>
  </si>
  <si>
    <t>VI DERMATOLOGIA Y TEGUMENTOS</t>
  </si>
  <si>
    <t>1703</t>
  </si>
  <si>
    <t>VII CIRUGIA CARDIOVASCULAR</t>
  </si>
  <si>
    <t>1704</t>
  </si>
  <si>
    <t>VIII CIRUGIA TORAXICA</t>
  </si>
  <si>
    <t>1802</t>
  </si>
  <si>
    <t>IX CIRUGIA ABDOMINAL</t>
  </si>
  <si>
    <t>1803</t>
  </si>
  <si>
    <t>X CIRUGIA PROCTOLOGICA</t>
  </si>
  <si>
    <t>1902</t>
  </si>
  <si>
    <t>XI CIRUGIA UROLOGICA Y SUPRARRENAL</t>
  </si>
  <si>
    <t>2002</t>
  </si>
  <si>
    <t>XII CIRUGIA DE LA MAMA</t>
  </si>
  <si>
    <t>2003</t>
  </si>
  <si>
    <t>XIII CIRUGIA GINECOLOGICA</t>
  </si>
  <si>
    <t>2004</t>
  </si>
  <si>
    <t>XIV CIRUGIA OBSTETRICA</t>
  </si>
  <si>
    <t>CESAREA CON HISTERECTOMIA  2004005</t>
  </si>
  <si>
    <t>CESAREA C/S SALPINGOLIGADURA O SALPINGECTOMIA  2004006</t>
  </si>
  <si>
    <t>Abortos 2004001 y 2004002</t>
  </si>
  <si>
    <t xml:space="preserve">2104 </t>
  </si>
  <si>
    <t xml:space="preserve">XV  TRAUMATOLOGIA </t>
  </si>
  <si>
    <t>XVI  RETIRO ELEMENTOS OSTEOSINTESIS</t>
  </si>
  <si>
    <t>SUB-TOTAL FACTURACION SECCION D</t>
  </si>
  <si>
    <t>SECCION E: PARTOS (Libro Anexo REM17A)</t>
  </si>
  <si>
    <t>2004103</t>
  </si>
  <si>
    <t>Parto normal</t>
  </si>
  <si>
    <t>2004113</t>
  </si>
  <si>
    <t>Parto distósico vaginal</t>
  </si>
  <si>
    <t>SUB-TOTAL FACTURACION SECCION E</t>
  </si>
  <si>
    <t>SECCION F: ATENCION ODONTOLOGICA (GRUPO 27 DEL REM17A)</t>
  </si>
  <si>
    <t>Grupo 27</t>
  </si>
  <si>
    <t>TOTAL GRUPO 27</t>
  </si>
  <si>
    <t>SECCION G: ATENCION CERRADA, DIAS DE HOSPITALIZACION (REM 20)</t>
  </si>
  <si>
    <t>0203001</t>
  </si>
  <si>
    <t>Día cama hospitalización integral, hospitales tipo 1</t>
  </si>
  <si>
    <t>0203102</t>
  </si>
  <si>
    <t>Día cama hospitalización integral, hospitales tipo 2</t>
  </si>
  <si>
    <t>0203103</t>
  </si>
  <si>
    <t>Día cama hospitalización integral, hospitales tipo 3 y 4</t>
  </si>
  <si>
    <t>0203002 a 004</t>
  </si>
  <si>
    <t>Día cama hospitalización integral Unidad Cuidado Intensivo (U.C.I.)</t>
  </si>
  <si>
    <t>0203005 a 007</t>
  </si>
  <si>
    <t>Día cama hospitalización integral en Unidad Tratamiento Intermedio (U.T.I.)</t>
  </si>
  <si>
    <t>0203008</t>
  </si>
  <si>
    <t>Día cama hospitalización integral incubadora</t>
  </si>
  <si>
    <t>0203009</t>
  </si>
  <si>
    <t>Día cama hospitalización integral psiquiatría crónicos</t>
  </si>
  <si>
    <t>0203109</t>
  </si>
  <si>
    <t>Día cama hospitalización integral psiquiatría corta estadía</t>
  </si>
  <si>
    <t>0203110</t>
  </si>
  <si>
    <t>Día cama hospitalización integral psiquiatría mediana estadía</t>
  </si>
  <si>
    <t>0203209</t>
  </si>
  <si>
    <t>Día cama hosp. integral desintoxicación alcohol y drogas</t>
  </si>
  <si>
    <t>0203012</t>
  </si>
  <si>
    <t>Día cama integral geriatría o crónicos</t>
  </si>
  <si>
    <t>0203015</t>
  </si>
  <si>
    <t>Día cuna de hospitalización integral</t>
  </si>
  <si>
    <t>0203016</t>
  </si>
  <si>
    <t xml:space="preserve">Día cama hospitalización integral urgencia H.U.A.P. </t>
  </si>
  <si>
    <t>SUBTOTAL DIAS CAMA DE HOSPITALIZACION</t>
  </si>
  <si>
    <t>MISCELANEOS DIAS CAMA</t>
  </si>
  <si>
    <t>0203010</t>
  </si>
  <si>
    <t>Día cama integral psiquiátrico diurno</t>
  </si>
  <si>
    <t>0203011</t>
  </si>
  <si>
    <t>Día cama integral de observación o día cama integral ambulatorio diurno</t>
  </si>
  <si>
    <t>0203111</t>
  </si>
  <si>
    <t>Camilla de observación en servicio de urgencia</t>
  </si>
  <si>
    <t>0203013</t>
  </si>
  <si>
    <t>Día estada en cámara hiperbárica</t>
  </si>
  <si>
    <t>0203014</t>
  </si>
  <si>
    <t>Día cama hogar embarazada rural (del Servicio de Salud)</t>
  </si>
  <si>
    <t>0203017</t>
  </si>
  <si>
    <t>Día cama hogar protegido paciente psiquiátrico compensado</t>
  </si>
  <si>
    <t>SUBTOTAL MISCELANEOS DIAS CAMA</t>
  </si>
  <si>
    <t>SUB-TOTAL FACTURACION SECCION G</t>
  </si>
  <si>
    <t>SECCION H: ACTIVIDADES PROTECCION ESPECIFICA (REM 17A)</t>
  </si>
  <si>
    <t>0105001</t>
  </si>
  <si>
    <t>Vacunaciones (sólo considera administración) REGISTRAR EN LIBRO</t>
  </si>
  <si>
    <t>0105002 y 003</t>
  </si>
  <si>
    <t>Desparasitación sarna y pediculosis (cada persona) Registrar en LIBRO</t>
  </si>
  <si>
    <t>SUB-TOTAL FACTURACION SECCION H</t>
  </si>
  <si>
    <t>SECCION I: HEMODIALISIS Y PERITONEODIALISIS (LIBRO ANEXO REM017A)</t>
  </si>
  <si>
    <t>1901023</t>
  </si>
  <si>
    <t>Hemodiálisis con insumos incluidos</t>
  </si>
  <si>
    <t>1901024</t>
  </si>
  <si>
    <t>Hemodiálisis sin insumos</t>
  </si>
  <si>
    <t>1901025</t>
  </si>
  <si>
    <t>Peritoneodiálisis (incluye insumos)</t>
  </si>
  <si>
    <t>1901026</t>
  </si>
  <si>
    <t>Peritoneodiálisis continua en paciente crónico (adulto o niños) (tratamiento mensual)</t>
  </si>
  <si>
    <t>1901126</t>
  </si>
  <si>
    <t>Instalación de cateter para peritoneodiális</t>
  </si>
  <si>
    <t>1901027</t>
  </si>
  <si>
    <t>Hemodialisis, Tratamiento Mensual (con insumos incluidos)</t>
  </si>
  <si>
    <t>1901028</t>
  </si>
  <si>
    <t>Hemodiálisis con bicarbonato con insumos (por sesion)</t>
  </si>
  <si>
    <t>Hemodiálisis con bicarbonato con insumos (tratamiento mensual)</t>
  </si>
  <si>
    <t>SUB-TOTAL FACTURACION SECCION I</t>
  </si>
  <si>
    <t>SECCION J: PROCEDIMIENTOS DIAGNOSTICOS Y TERAPEUTICOS</t>
  </si>
  <si>
    <t>E.E.G. de 16 o más canales (incluye el cód. 11-01-006)</t>
  </si>
  <si>
    <t>Electroencefalograma (E.E.G.) standard y/o activado...., de 8 canales</t>
  </si>
  <si>
    <t>1701001</t>
  </si>
  <si>
    <t>E.C.G. de reposo (incluye mínimo 12 derivaciones y 4 complejos por derivación)</t>
  </si>
  <si>
    <t>1701003</t>
  </si>
  <si>
    <t>Ergometría (incluye E.C.G. antes, durante y después del ejercicio con monitoreo continuo y medición de la intensidad del esfuerzo)</t>
  </si>
  <si>
    <t>1701006</t>
  </si>
  <si>
    <t>E.C.G. continuo (test Holter o similares, por ej. variabilidad de la frecuencia cardíaca y/o alta resolución del ST y/o depolarización tardía); 20 a 24 horas de registro</t>
  </si>
  <si>
    <t>1701007</t>
  </si>
  <si>
    <t>Ecocardiograma Doppler, con registro (incluye cód.17.01.008)</t>
  </si>
  <si>
    <t>1701045</t>
  </si>
  <si>
    <t>Ecocardiograma Doppler color</t>
  </si>
  <si>
    <t>1701008</t>
  </si>
  <si>
    <t>Ecocardiograma bidimensional (incluye registro modo M, papel fotosensible y fotografía), en adultos o niños (proc. aut.)</t>
  </si>
  <si>
    <t>1701010</t>
  </si>
  <si>
    <t>Sondeo cardíaco derecho c/s termodilución, en adultos o niños</t>
  </si>
  <si>
    <t>1701011</t>
  </si>
  <si>
    <t>Sondeo cardíaco izquierdo y derecho, en adultos o niños</t>
  </si>
  <si>
    <t>1701012</t>
  </si>
  <si>
    <t>Sondeo cardíaco izquierdo, en adultos o niños</t>
  </si>
  <si>
    <t>1701019</t>
  </si>
  <si>
    <t xml:space="preserve">Cinecoronariografía derecha y/o izquierda (incluye sondeo cardíaco izq.  y ventriculografía izq.) </t>
  </si>
  <si>
    <t>1701020</t>
  </si>
  <si>
    <t>Ventriculografía derecha, en adultos o niños (incl. proc. rad. y sondeo cardíaco derecho)</t>
  </si>
  <si>
    <t>1701021</t>
  </si>
  <si>
    <t>Ventriculografía izquierda, en adultos o niños (incl. proc. rad. y sondeo cardíaco izquierdo)</t>
  </si>
  <si>
    <t>1701022</t>
  </si>
  <si>
    <t>Aortografía, en adultos o niños (Incluye proc. rad.)</t>
  </si>
  <si>
    <t>1701023</t>
  </si>
  <si>
    <t>Arteriografía de extremidades, en adultos o niños (incluye proc. rad.)</t>
  </si>
  <si>
    <t>1701024</t>
  </si>
  <si>
    <t xml:space="preserve">Arteriografía selectiva o superselectiva (pulmonar, renal, tronco celíaco, etc)  en adultos o niños (incl. proc. rad.)  </t>
  </si>
  <si>
    <t>1701131</t>
  </si>
  <si>
    <t>Angioplastía Intraluminal coronaria uno o mult. vasos(incl. proc. rad; balón, rotablator, Stent o similar)</t>
  </si>
  <si>
    <t>1701132</t>
  </si>
  <si>
    <t>Angioplastía Intraluminal periférica (incluye proc. rad., balón, Stent o similar)</t>
  </si>
  <si>
    <t>1701043</t>
  </si>
  <si>
    <t>Angioplastía de coartación aórtica (incl. proc. rad.) (proc. completo)</t>
  </si>
  <si>
    <t>1701144</t>
  </si>
  <si>
    <t>Angioplastía de arteria pulmonar o vena cava en niños (incluye proc. rad., balón, Stent o similar)</t>
  </si>
  <si>
    <t>1701033</t>
  </si>
  <si>
    <t>Biopsia endomiocárdica (proc. completo)</t>
  </si>
  <si>
    <t>1701038</t>
  </si>
  <si>
    <t>Septostomía de Rashkind</t>
  </si>
  <si>
    <t>1701035</t>
  </si>
  <si>
    <t>Colocación de sonda marcapaso transitorio (proc. completo)</t>
  </si>
  <si>
    <t>1701141</t>
  </si>
  <si>
    <t>Valvuloplastía mitral o tricúspide (incl. proc. radiológico,  incluye balón)</t>
  </si>
  <si>
    <t>1701142</t>
  </si>
  <si>
    <t>Valvuloplastía aórtica y pulmonar (incl. proc. radiológico,  incluye balón)</t>
  </si>
  <si>
    <t>Gastroduodenoscopía (incluye esofagoscopía)</t>
  </si>
  <si>
    <t>Yeyuno-ileoscopía (incluye esofago-gastro-duodenoscopía)</t>
  </si>
  <si>
    <t>Colonoscopía larga (incluye sigmoidoscopía y ....)</t>
  </si>
  <si>
    <t>14-01-001</t>
  </si>
  <si>
    <t>Punción evacuadora de quiste tiroídeo c/s toma de muestra, c/s inyección de medicamentos</t>
  </si>
  <si>
    <t>11-01-113</t>
  </si>
  <si>
    <t>Angiografía cerebral digital por cateterización femoral (incluye proc. Radiológico, medio de contraste e insumos)</t>
  </si>
  <si>
    <t>SUB-TOTAL FACTURACION SECCION J</t>
  </si>
  <si>
    <t>SECCION K: MISCELANEOS (REM 17A)</t>
  </si>
  <si>
    <t>0101106</t>
  </si>
  <si>
    <t>Asistencia de cardiólogo a cirugías no cardíacas</t>
  </si>
  <si>
    <t>0101107</t>
  </si>
  <si>
    <t>Atención médica del recién nacido</t>
  </si>
  <si>
    <t>0106001</t>
  </si>
  <si>
    <t>Abreu</t>
  </si>
  <si>
    <t>0106002</t>
  </si>
  <si>
    <t>Curación simple ambulatoria</t>
  </si>
  <si>
    <t>0106004</t>
  </si>
  <si>
    <t>Despacho de recetas a crónicos</t>
  </si>
  <si>
    <t>0106005</t>
  </si>
  <si>
    <t>Autocontrol pacientes D.I.D. (mensual)</t>
  </si>
  <si>
    <t>0106006</t>
  </si>
  <si>
    <t>Oxigenoterapia domiciliaria (pacientes oxígeno dependientes)</t>
  </si>
  <si>
    <t>0107001 a 005</t>
  </si>
  <si>
    <t>ACTIVIDAD COMPIN</t>
  </si>
  <si>
    <t>2201102</t>
  </si>
  <si>
    <t>Anestesia peridural o epidural  continua para partos</t>
  </si>
  <si>
    <t>SUB-TOTAL FACTURACION SECCION K</t>
  </si>
  <si>
    <t>SECCION L: FACTURACION POR ATENCIONES SALUD  OCUPACIONAL Y AMBIENTAL (RMC0- SALUD OCUPACIONAL y MEDIO AMBIENTE).</t>
  </si>
  <si>
    <t>43</t>
  </si>
  <si>
    <t>SALUD OCUPACIONAL</t>
  </si>
  <si>
    <t>40 a 42 y 44 a 47</t>
  </si>
  <si>
    <t>SALUD AMBIENTAL</t>
  </si>
  <si>
    <t>SUB-TOTAL FACTURACION SECCION L</t>
  </si>
  <si>
    <t>SECCION M: LENTES, AUDIFONOS, MEDICINA TRANSFUSIONAL, PNDA,  TBC, TRASLADOS Y RONDAS RURALES.</t>
  </si>
  <si>
    <t>3001001</t>
  </si>
  <si>
    <t>Lentes ópticos</t>
  </si>
  <si>
    <t>3001002</t>
  </si>
  <si>
    <t>Audífonos</t>
  </si>
  <si>
    <t>SUB-TOTAL FACTURACION, LENTES Y AUDIFONOS</t>
  </si>
  <si>
    <t>MEDICINA TRANSFUSIONAL</t>
  </si>
  <si>
    <t>Grupo 07</t>
  </si>
  <si>
    <t>Medicina Transfusional</t>
  </si>
  <si>
    <t>PROGRAMA NACIONAL DE DROGAS ANTINEOPLASICAS P.N.D.A. (SOLO SERVICIOS DE SALUD ACREDITADOS)</t>
  </si>
  <si>
    <t>TUMORES DEL ADULTO</t>
  </si>
  <si>
    <t>Nº Pacientes atendidos en el mes</t>
  </si>
  <si>
    <t>3002001</t>
  </si>
  <si>
    <t>Linfoma de Hodgkin</t>
  </si>
  <si>
    <t>3002002</t>
  </si>
  <si>
    <t>Linfoma No Hodgkin no agresivo</t>
  </si>
  <si>
    <t>3002003</t>
  </si>
  <si>
    <t>Linfoma No Hodgkin intermedio</t>
  </si>
  <si>
    <t>3002004</t>
  </si>
  <si>
    <t>Linfoma No Hodgkin., agresivo</t>
  </si>
  <si>
    <t>3002005</t>
  </si>
  <si>
    <t>Leucemia linfoblastica</t>
  </si>
  <si>
    <t>3002006</t>
  </si>
  <si>
    <t>Leucemia Aguda No linfática aguda y Leucemia Promielocítica</t>
  </si>
  <si>
    <t>3002007</t>
  </si>
  <si>
    <t>Cáncer de Testículo y  Germinales extragonadales</t>
  </si>
  <si>
    <t>3002008</t>
  </si>
  <si>
    <t>Enfermedad Trofoblástica Gestacional</t>
  </si>
  <si>
    <t>3002033</t>
  </si>
  <si>
    <t>Rescate de Linfomas</t>
  </si>
  <si>
    <t>3002034</t>
  </si>
  <si>
    <t>Ca. Mama etapa I y II</t>
  </si>
  <si>
    <t>3002135</t>
  </si>
  <si>
    <t>Ca mama etapa III</t>
  </si>
  <si>
    <t>3002136</t>
  </si>
  <si>
    <t>Ca mama etapa IV</t>
  </si>
  <si>
    <t>3002137</t>
  </si>
  <si>
    <t>Ca mama etapa IV metástasis ósea</t>
  </si>
  <si>
    <t>3002036</t>
  </si>
  <si>
    <t>Ca. Cérvico Uterino</t>
  </si>
  <si>
    <t>TUMORES INFANTILES</t>
  </si>
  <si>
    <t>3002009</t>
  </si>
  <si>
    <t>3002010</t>
  </si>
  <si>
    <t>Linfoma B y LLA-B</t>
  </si>
  <si>
    <t>3002011</t>
  </si>
  <si>
    <t>Linfoma Linfoblástico</t>
  </si>
  <si>
    <t>3002012</t>
  </si>
  <si>
    <t>Leucemia linfoblástica aguda</t>
  </si>
  <si>
    <t>3002013</t>
  </si>
  <si>
    <t>Leucemia Mieloide Aguda</t>
  </si>
  <si>
    <t>3002014</t>
  </si>
  <si>
    <t>Neuroblastoma</t>
  </si>
  <si>
    <t>3002015</t>
  </si>
  <si>
    <t>Osteosarcoma</t>
  </si>
  <si>
    <t>3002016</t>
  </si>
  <si>
    <t>Sarcoma partes blandas</t>
  </si>
  <si>
    <t>3002017</t>
  </si>
  <si>
    <t>Ewing</t>
  </si>
  <si>
    <t>3002107</t>
  </si>
  <si>
    <t>Tumores germinales Extra Sistema Nerviso Central (Extra SNC)</t>
  </si>
  <si>
    <t>3002020</t>
  </si>
  <si>
    <t>Tumor de Wilms</t>
  </si>
  <si>
    <t>3002021</t>
  </si>
  <si>
    <t>Retinoblastoma</t>
  </si>
  <si>
    <t>3002022</t>
  </si>
  <si>
    <t>Histiocitosis</t>
  </si>
  <si>
    <t>3002024</t>
  </si>
  <si>
    <t>Recaída tumores sólidos</t>
  </si>
  <si>
    <t>3002025</t>
  </si>
  <si>
    <t>Hepatoblastomas</t>
  </si>
  <si>
    <t>3002026</t>
  </si>
  <si>
    <t>Leucemias mieloide crónica</t>
  </si>
  <si>
    <t>3002126</t>
  </si>
  <si>
    <t>Recaída de Leucemia Mieloide</t>
  </si>
  <si>
    <t>3002027</t>
  </si>
  <si>
    <t>Recaídas de leucemias Linfoblasticas</t>
  </si>
  <si>
    <t>TUMORES CEREBRALES INFANTILES</t>
  </si>
  <si>
    <t>3002028</t>
  </si>
  <si>
    <t>Méduloblastomas</t>
  </si>
  <si>
    <t>3002029</t>
  </si>
  <si>
    <t>Tumores de &lt; de 3 años</t>
  </si>
  <si>
    <t>3002030</t>
  </si>
  <si>
    <t>Glioma</t>
  </si>
  <si>
    <t>3002031</t>
  </si>
  <si>
    <t>Astrocitomas</t>
  </si>
  <si>
    <t>3002032</t>
  </si>
  <si>
    <t>Tumor Germinal SNC</t>
  </si>
  <si>
    <t>3002023</t>
  </si>
  <si>
    <t>Cuidados Paliativos y Alivio del Dolor en Cáncer Terminal (en adultos o niños)</t>
  </si>
  <si>
    <t>SUB-TOTAL FACTURACION P.N.D.A.</t>
  </si>
  <si>
    <t>TRATAMIENTO ABREVIADO DE LA TUBERCULOSIS</t>
  </si>
  <si>
    <t>3003001</t>
  </si>
  <si>
    <t>TBC, Esquema primario (mensual)</t>
  </si>
  <si>
    <t>3003002</t>
  </si>
  <si>
    <t>TBC, Esquema primario simplificado (mensual)</t>
  </si>
  <si>
    <t>3003003</t>
  </si>
  <si>
    <t>TBC, Esquema secundario (mensual)</t>
  </si>
  <si>
    <t>3003004</t>
  </si>
  <si>
    <t>TBC, Esquema normado de retratamiento (mensual)</t>
  </si>
  <si>
    <t>3003005</t>
  </si>
  <si>
    <t>TBC, Esquema especial de retratamiento (mensual)</t>
  </si>
  <si>
    <t>SUB-TOTAL FACTURACION TRATAMIENTO TBC</t>
  </si>
  <si>
    <t>TRASLADO, RESCATES Y RONDAS RURALES</t>
  </si>
  <si>
    <t>Nº TRASLADOS O RONDAS EN EL MES</t>
  </si>
  <si>
    <t>2401061</t>
  </si>
  <si>
    <t>Rescate simple y/o traslado en móvil 1</t>
  </si>
  <si>
    <t>2401062</t>
  </si>
  <si>
    <t>Rescate profesionalizado y/o traslado paciente complejo móvil 2</t>
  </si>
  <si>
    <t>2401063</t>
  </si>
  <si>
    <t>Rescate medicalizado y/o traslado paciente critico en móvil 3</t>
  </si>
  <si>
    <t>2401064</t>
  </si>
  <si>
    <t>Traslado en ambulancia</t>
  </si>
  <si>
    <t>2401065</t>
  </si>
  <si>
    <t>Ronda rural terrestre, c/ km recorrido</t>
  </si>
  <si>
    <t>2401066</t>
  </si>
  <si>
    <t>Ronda rural aérea, c/ hora de vuelo</t>
  </si>
  <si>
    <t>2401067</t>
  </si>
  <si>
    <t>Ronda rural marítima, c/ hora de navegación</t>
  </si>
  <si>
    <t>SUB-TOTAL FACTURACION TRASLADOS, RESCATES Y RONDAS</t>
  </si>
  <si>
    <t>CONSOLIDADO  FACTURACION:  LENTES, AUDIFONOS, MEDICINA TRANSFUSIONAL, PNDA, TBC, TRASLADOS, RESCATES Y RONDAS RURALES</t>
  </si>
  <si>
    <t>SUB-TOTAL FACTURACION SECCION M</t>
  </si>
  <si>
    <t>SECCION M: RESUMEN DE FACTURACION PPP SERVICIO DE SALUD</t>
  </si>
  <si>
    <t>TOTAL FACTURACION PPP</t>
  </si>
  <si>
    <t>TOTAL FACTURACION POR PRESTACIONES (SECCIONES A a M)</t>
  </si>
  <si>
    <t>SECCION N: RESUMEN DE FACTURACION COMPRA DE SERVICIOS</t>
  </si>
  <si>
    <t>(EXCLUSIVAMENTE A BENEFICIARIOS EN LA MODALIDAD INSTITUCIONAL)</t>
  </si>
  <si>
    <t>GRUPOS DE PRESTACIONES</t>
  </si>
  <si>
    <t>MONTO FACTURADO ($)</t>
  </si>
  <si>
    <t>Día cama hogar embarazada rural (no perteneciente al servicio de salud)</t>
  </si>
  <si>
    <t>Día cama centros de geriatria</t>
  </si>
  <si>
    <t>Colocación embarazada</t>
  </si>
  <si>
    <t>Colocación extra hospitalaria</t>
  </si>
  <si>
    <t>COMPRA DE SERVICIOS Subtotal</t>
  </si>
  <si>
    <t>EXAMENES DE DIAGNOSTICO</t>
  </si>
  <si>
    <t>PROC. MEDICINA NUCLEAR, GINEC. OBSTETRICIA Y ORTOPEDIA</t>
  </si>
  <si>
    <t>INTERVENCIONES QUIRURGICAS</t>
  </si>
  <si>
    <t>PROC. DIAGNOSTICOS Y TERAPEUTICOS</t>
  </si>
  <si>
    <t>HEMODIALISIS Y PERITONEODIALISIS</t>
  </si>
  <si>
    <t>TRASLADOS DE PACIENTES</t>
  </si>
  <si>
    <t>RESTO COMPRA DE SERVICIOS</t>
  </si>
  <si>
    <t>SUBTOTAL FACTURACION SECCION N "COMPRA DE SERVICIOS"</t>
  </si>
  <si>
    <t>COMUNA: LINARES - ( 07401 )</t>
  </si>
  <si>
    <t>ESTABLECIMIENTO/ESTRATEGIA: HOSPITAL DE LINARES - ( 116108 )</t>
  </si>
  <si>
    <t>MES: MAYO - ( 05 )</t>
  </si>
  <si>
    <t>MAYO ( 05 )</t>
  </si>
  <si>
    <t>AÑO: 2014</t>
  </si>
  <si>
    <t>HOSPITAL DE LINARES ( 11610 )</t>
  </si>
  <si>
    <t>SRA. MARIA INES NUÑEZ GONZALEZ</t>
  </si>
  <si>
    <t>Jefe de Estadisticas</t>
  </si>
  <si>
    <t>DR. FRANCISCO MARTINEZ CAVALLA</t>
  </si>
  <si>
    <t xml:space="preserve">Director </t>
  </si>
  <si>
    <t>dividido 7</t>
  </si>
  <si>
    <t>por 12</t>
  </si>
  <si>
    <t>10 por ciento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</si>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</sst>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(&quot;$&quot;\ * #,##0.00_);_(&quot;$&quot;\ * \(#,##0.00\);_(&quot;$&quot;\ * &quot;-&quot;??_);_(@_)"/>
    <numFmt numFmtId="166" formatCode="#,##0_)"/>
    <numFmt numFmtId="167" formatCode="_-[$€-2]* #,##0.00_-;\-[$€-2]* #,##0.00_-;_-[$€-2]* &quot;-&quot;??_-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Verdana"/>
      <family val="2"/>
    </font>
    <font>
      <b/>
      <sz val="10"/>
      <name val="Arial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4"/>
      <name val="Verdana"/>
      <family val="2"/>
    </font>
    <font>
      <b/>
      <sz val="14"/>
      <name val="Verdana"/>
      <family val="2"/>
    </font>
    <font>
      <sz val="14"/>
      <color rgb="FFFF0000"/>
      <name val="Verdan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03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6" fillId="7" borderId="1" applyNumberFormat="0" applyAlignment="0" applyProtection="0"/>
    <xf numFmtId="0" fontId="2" fillId="22" borderId="4" applyBorder="0">
      <protection locked="0"/>
    </xf>
    <xf numFmtId="0" fontId="2" fillId="22" borderId="4" applyBorder="0">
      <protection locked="0"/>
    </xf>
    <xf numFmtId="0" fontId="2" fillId="22" borderId="4" applyBorder="0">
      <protection locked="0"/>
    </xf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23" borderId="0" applyNumberFormat="0" applyBorder="0" applyAlignment="0" applyProtection="0"/>
    <xf numFmtId="0" fontId="2" fillId="0" borderId="0"/>
    <xf numFmtId="0" fontId="4" fillId="0" borderId="0" applyFont="0" applyBorder="0" applyAlignment="0" applyProtection="0"/>
    <xf numFmtId="0" fontId="2" fillId="24" borderId="5" applyNumberFormat="0" applyFont="0" applyAlignment="0" applyProtection="0"/>
    <xf numFmtId="0" fontId="2" fillId="24" borderId="5" applyNumberFormat="0" applyFont="0" applyAlignment="0" applyProtection="0"/>
    <xf numFmtId="0" fontId="19" fillId="16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15" fillId="0" borderId="9" applyNumberFormat="0" applyFill="0" applyAlignment="0" applyProtection="0"/>
    <xf numFmtId="0" fontId="25" fillId="0" borderId="10" applyNumberFormat="0" applyFill="0" applyAlignment="0" applyProtection="0"/>
    <xf numFmtId="0" fontId="1" fillId="22" borderId="4" applyBorder="0">
      <protection locked="0"/>
    </xf>
    <xf numFmtId="0" fontId="1" fillId="22" borderId="4" applyBorder="0">
      <protection locked="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5" applyNumberFormat="0" applyFont="0" applyAlignment="0" applyProtection="0"/>
    <xf numFmtId="0" fontId="1" fillId="24" borderId="5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6" fillId="0" borderId="0"/>
    <xf numFmtId="0" fontId="9" fillId="0" borderId="0"/>
    <xf numFmtId="0" fontId="1" fillId="0" borderId="0"/>
  </cellStyleXfs>
  <cellXfs count="613">
    <xf numFmtId="0" fontId="0" fillId="0" borderId="0" xfId="0"/>
    <xf numFmtId="0" fontId="6" fillId="0" borderId="4" xfId="77" applyNumberFormat="1" applyFont="1" applyFill="1" applyBorder="1" applyAlignment="1" applyProtection="1">
      <alignment horizontal="center" vertical="center" wrapText="1"/>
    </xf>
    <xf numFmtId="0" fontId="6" fillId="0" borderId="12" xfId="77" applyNumberFormat="1" applyFont="1" applyFill="1" applyBorder="1" applyAlignment="1" applyProtection="1">
      <alignment horizontal="center" vertical="center" wrapText="1"/>
    </xf>
    <xf numFmtId="0" fontId="6" fillId="0" borderId="13" xfId="77" applyNumberFormat="1" applyFont="1" applyFill="1" applyBorder="1" applyAlignment="1" applyProtection="1">
      <alignment horizontal="center" vertical="center" wrapText="1"/>
    </xf>
    <xf numFmtId="0" fontId="6" fillId="25" borderId="13" xfId="77" applyNumberFormat="1" applyFont="1" applyFill="1" applyBorder="1" applyAlignment="1" applyProtection="1">
      <alignment horizontal="center" vertical="center" wrapText="1"/>
    </xf>
    <xf numFmtId="0" fontId="6" fillId="0" borderId="14" xfId="77" applyNumberFormat="1" applyFont="1" applyFill="1" applyBorder="1" applyAlignment="1" applyProtection="1">
      <alignment horizontal="center" vertical="center" wrapText="1"/>
    </xf>
    <xf numFmtId="0" fontId="7" fillId="0" borderId="0" xfId="77" applyNumberFormat="1" applyFont="1" applyFill="1" applyBorder="1" applyAlignment="1" applyProtection="1">
      <alignment horizontal="center" vertical="center" wrapText="1"/>
    </xf>
    <xf numFmtId="0" fontId="6" fillId="0" borderId="51" xfId="77" applyNumberFormat="1" applyFont="1" applyFill="1" applyBorder="1" applyAlignment="1" applyProtection="1">
      <alignment horizontal="center" vertical="center" wrapText="1"/>
    </xf>
    <xf numFmtId="0" fontId="6" fillId="0" borderId="12" xfId="77" quotePrefix="1" applyNumberFormat="1" applyFont="1" applyFill="1" applyBorder="1" applyAlignment="1" applyProtection="1">
      <alignment horizontal="center" vertical="center" wrapText="1"/>
    </xf>
    <xf numFmtId="0" fontId="7" fillId="0" borderId="58" xfId="77" applyNumberFormat="1" applyFont="1" applyFill="1" applyBorder="1" applyAlignment="1" applyProtection="1">
      <alignment wrapText="1"/>
    </xf>
    <xf numFmtId="0" fontId="7" fillId="0" borderId="53" xfId="77" applyNumberFormat="1" applyFont="1" applyFill="1" applyBorder="1" applyAlignment="1" applyProtection="1">
      <alignment horizontal="left" wrapText="1"/>
    </xf>
    <xf numFmtId="0" fontId="7" fillId="0" borderId="53" xfId="77" applyNumberFormat="1" applyFont="1" applyFill="1" applyBorder="1" applyAlignment="1" applyProtection="1">
      <alignment wrapText="1"/>
    </xf>
    <xf numFmtId="0" fontId="7" fillId="0" borderId="53" xfId="77" quotePrefix="1" applyNumberFormat="1" applyFont="1" applyFill="1" applyBorder="1" applyAlignment="1" applyProtection="1">
      <alignment horizontal="left" wrapText="1"/>
    </xf>
    <xf numFmtId="0" fontId="7" fillId="0" borderId="70" xfId="77" applyNumberFormat="1" applyFont="1" applyFill="1" applyBorder="1" applyAlignment="1" applyProtection="1">
      <alignment horizontal="left" wrapText="1"/>
    </xf>
    <xf numFmtId="0" fontId="7" fillId="0" borderId="53" xfId="77" quotePrefix="1" applyNumberFormat="1" applyFont="1" applyFill="1" applyBorder="1" applyAlignment="1" applyProtection="1">
      <alignment vertical="center" wrapText="1"/>
    </xf>
    <xf numFmtId="0" fontId="8" fillId="0" borderId="0" xfId="77" applyNumberFormat="1" applyFont="1" applyFill="1" applyAlignment="1" applyProtection="1">
      <alignment horizontal="left"/>
    </xf>
    <xf numFmtId="0" fontId="7" fillId="0" borderId="0" xfId="77" applyNumberFormat="1" applyFont="1" applyFill="1" applyAlignment="1" applyProtection="1">
      <alignment horizontal="centerContinuous"/>
    </xf>
    <xf numFmtId="0" fontId="7" fillId="0" borderId="0" xfId="77" quotePrefix="1" applyNumberFormat="1" applyFont="1" applyFill="1" applyAlignment="1" applyProtection="1">
      <alignment horizontal="center"/>
    </xf>
    <xf numFmtId="0" fontId="7" fillId="0" borderId="0" xfId="77" applyNumberFormat="1" applyFont="1" applyFill="1" applyAlignment="1" applyProtection="1">
      <alignment horizontal="center"/>
    </xf>
    <xf numFmtId="0" fontId="8" fillId="0" borderId="0" xfId="77" applyNumberFormat="1" applyFont="1" applyFill="1" applyBorder="1" applyAlignment="1" applyProtection="1">
      <alignment horizontal="center"/>
    </xf>
    <xf numFmtId="0" fontId="5" fillId="0" borderId="0" xfId="77" applyNumberFormat="1" applyFont="1" applyFill="1" applyBorder="1" applyAlignment="1" applyProtection="1">
      <alignment horizontal="center"/>
    </xf>
    <xf numFmtId="0" fontId="7" fillId="0" borderId="0" xfId="77" applyNumberFormat="1" applyFont="1" applyFill="1" applyAlignment="1" applyProtection="1"/>
    <xf numFmtId="0" fontId="5" fillId="0" borderId="0" xfId="77" applyNumberFormat="1" applyFont="1" applyFill="1" applyBorder="1" applyAlignment="1" applyProtection="1"/>
    <xf numFmtId="164" fontId="7" fillId="0" borderId="18" xfId="74" applyNumberFormat="1" applyFont="1" applyFill="1" applyBorder="1" applyAlignment="1" applyProtection="1">
      <alignment horizontal="right"/>
    </xf>
    <xf numFmtId="164" fontId="7" fillId="0" borderId="19" xfId="74" applyNumberFormat="1" applyFont="1" applyFill="1" applyBorder="1" applyAlignment="1" applyProtection="1">
      <alignment horizontal="center"/>
    </xf>
    <xf numFmtId="0" fontId="7" fillId="0" borderId="20" xfId="77" quotePrefix="1" applyNumberFormat="1" applyFont="1" applyFill="1" applyBorder="1" applyAlignment="1" applyProtection="1">
      <alignment horizontal="center"/>
    </xf>
    <xf numFmtId="164" fontId="7" fillId="0" borderId="21" xfId="74" applyNumberFormat="1" applyFont="1" applyFill="1" applyBorder="1" applyAlignment="1" applyProtection="1">
      <alignment horizontal="right"/>
    </xf>
    <xf numFmtId="164" fontId="7" fillId="0" borderId="22" xfId="74" applyNumberFormat="1" applyFont="1" applyFill="1" applyBorder="1" applyAlignment="1" applyProtection="1">
      <alignment horizontal="center"/>
    </xf>
    <xf numFmtId="164" fontId="7" fillId="0" borderId="23" xfId="74" applyNumberFormat="1" applyFont="1" applyFill="1" applyBorder="1" applyAlignment="1" applyProtection="1">
      <alignment horizontal="right"/>
    </xf>
    <xf numFmtId="164" fontId="7" fillId="0" borderId="24" xfId="74" applyNumberFormat="1" applyFont="1" applyFill="1" applyBorder="1" applyAlignment="1" applyProtection="1">
      <alignment horizontal="center"/>
    </xf>
    <xf numFmtId="0" fontId="7" fillId="0" borderId="25" xfId="77" quotePrefix="1" applyNumberFormat="1" applyFont="1" applyFill="1" applyBorder="1" applyAlignment="1" applyProtection="1">
      <alignment horizontal="center"/>
    </xf>
    <xf numFmtId="164" fontId="7" fillId="0" borderId="26" xfId="74" applyNumberFormat="1" applyFont="1" applyFill="1" applyBorder="1" applyAlignment="1" applyProtection="1">
      <alignment horizontal="right"/>
    </xf>
    <xf numFmtId="164" fontId="7" fillId="0" borderId="27" xfId="74" applyNumberFormat="1" applyFont="1" applyFill="1" applyBorder="1" applyAlignment="1" applyProtection="1">
      <alignment horizontal="center"/>
    </xf>
    <xf numFmtId="164" fontId="7" fillId="0" borderId="28" xfId="74" applyNumberFormat="1" applyFont="1" applyFill="1" applyBorder="1" applyAlignment="1" applyProtection="1">
      <alignment horizontal="right"/>
    </xf>
    <xf numFmtId="164" fontId="7" fillId="0" borderId="29" xfId="74" applyNumberFormat="1" applyFont="1" applyFill="1" applyBorder="1" applyAlignment="1" applyProtection="1">
      <alignment horizontal="center"/>
    </xf>
    <xf numFmtId="0" fontId="6" fillId="0" borderId="30" xfId="77" applyNumberFormat="1" applyFont="1" applyFill="1" applyBorder="1" applyAlignment="1" applyProtection="1"/>
    <xf numFmtId="0" fontId="6" fillId="0" borderId="31" xfId="75" applyNumberFormat="1" applyFont="1" applyFill="1" applyBorder="1" applyAlignment="1" applyProtection="1">
      <alignment horizontal="center"/>
    </xf>
    <xf numFmtId="164" fontId="6" fillId="0" borderId="32" xfId="74" applyNumberFormat="1" applyFont="1" applyFill="1" applyBorder="1" applyAlignment="1" applyProtection="1">
      <alignment horizontal="center"/>
    </xf>
    <xf numFmtId="0" fontId="6" fillId="0" borderId="0" xfId="77" applyNumberFormat="1" applyFont="1" applyFill="1" applyBorder="1" applyAlignment="1" applyProtection="1"/>
    <xf numFmtId="0" fontId="6" fillId="0" borderId="0" xfId="75" applyNumberFormat="1" applyFont="1" applyFill="1" applyBorder="1" applyAlignment="1" applyProtection="1">
      <alignment horizontal="center"/>
    </xf>
    <xf numFmtId="164" fontId="6" fillId="0" borderId="0" xfId="74" applyNumberFormat="1" applyFont="1" applyFill="1" applyBorder="1" applyAlignment="1" applyProtection="1">
      <alignment horizontal="center"/>
    </xf>
    <xf numFmtId="0" fontId="7" fillId="0" borderId="0" xfId="75" applyNumberFormat="1" applyFont="1" applyFill="1" applyAlignment="1" applyProtection="1">
      <alignment horizontal="center"/>
    </xf>
    <xf numFmtId="0" fontId="5" fillId="0" borderId="0" xfId="75" applyNumberFormat="1" applyFont="1" applyFill="1" applyAlignment="1" applyProtection="1"/>
    <xf numFmtId="0" fontId="6" fillId="0" borderId="13" xfId="77" applyNumberFormat="1" applyFont="1" applyFill="1" applyBorder="1" applyAlignment="1" applyProtection="1">
      <alignment horizontal="left"/>
    </xf>
    <xf numFmtId="0" fontId="6" fillId="25" borderId="13" xfId="77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7" fillId="25" borderId="18" xfId="77" applyNumberFormat="1" applyFont="1" applyFill="1" applyBorder="1" applyAlignment="1" applyProtection="1"/>
    <xf numFmtId="164" fontId="7" fillId="0" borderId="33" xfId="74" applyNumberFormat="1" applyFont="1" applyFill="1" applyBorder="1" applyAlignment="1" applyProtection="1"/>
    <xf numFmtId="0" fontId="7" fillId="0" borderId="34" xfId="77" quotePrefix="1" applyNumberFormat="1" applyFont="1" applyFill="1" applyBorder="1" applyAlignment="1" applyProtection="1">
      <alignment horizontal="center"/>
    </xf>
    <xf numFmtId="0" fontId="7" fillId="25" borderId="21" xfId="77" applyNumberFormat="1" applyFont="1" applyFill="1" applyBorder="1" applyAlignment="1" applyProtection="1"/>
    <xf numFmtId="164" fontId="7" fillId="0" borderId="35" xfId="74" applyNumberFormat="1" applyFont="1" applyFill="1" applyBorder="1" applyAlignment="1" applyProtection="1"/>
    <xf numFmtId="0" fontId="7" fillId="25" borderId="23" xfId="77" applyNumberFormat="1" applyFont="1" applyFill="1" applyBorder="1" applyAlignment="1" applyProtection="1"/>
    <xf numFmtId="164" fontId="7" fillId="0" borderId="36" xfId="74" applyNumberFormat="1" applyFont="1" applyFill="1" applyBorder="1" applyAlignment="1" applyProtection="1"/>
    <xf numFmtId="0" fontId="7" fillId="25" borderId="37" xfId="77" applyNumberFormat="1" applyFont="1" applyFill="1" applyBorder="1" applyAlignment="1" applyProtection="1"/>
    <xf numFmtId="164" fontId="7" fillId="0" borderId="38" xfId="74" applyNumberFormat="1" applyFont="1" applyFill="1" applyBorder="1" applyAlignment="1" applyProtection="1"/>
    <xf numFmtId="0" fontId="7" fillId="25" borderId="26" xfId="77" applyNumberFormat="1" applyFont="1" applyFill="1" applyBorder="1" applyAlignment="1" applyProtection="1"/>
    <xf numFmtId="164" fontId="7" fillId="0" borderId="39" xfId="74" applyNumberFormat="1" applyFont="1" applyFill="1" applyBorder="1" applyAlignment="1" applyProtection="1"/>
    <xf numFmtId="0" fontId="7" fillId="25" borderId="28" xfId="77" applyNumberFormat="1" applyFont="1" applyFill="1" applyBorder="1" applyAlignment="1" applyProtection="1"/>
    <xf numFmtId="164" fontId="7" fillId="0" borderId="40" xfId="74" applyNumberFormat="1" applyFont="1" applyFill="1" applyBorder="1" applyAlignment="1" applyProtection="1"/>
    <xf numFmtId="0" fontId="6" fillId="25" borderId="26" xfId="77" applyNumberFormat="1" applyFont="1" applyFill="1" applyBorder="1" applyAlignment="1" applyProtection="1"/>
    <xf numFmtId="164" fontId="6" fillId="0" borderId="39" xfId="74" applyNumberFormat="1" applyFont="1" applyFill="1" applyBorder="1" applyAlignment="1" applyProtection="1"/>
    <xf numFmtId="0" fontId="6" fillId="25" borderId="41" xfId="77" applyNumberFormat="1" applyFont="1" applyFill="1" applyBorder="1" applyAlignment="1" applyProtection="1"/>
    <xf numFmtId="164" fontId="6" fillId="0" borderId="42" xfId="74" applyNumberFormat="1" applyFont="1" applyFill="1" applyBorder="1" applyAlignment="1" applyProtection="1"/>
    <xf numFmtId="0" fontId="6" fillId="0" borderId="15" xfId="77" applyNumberFormat="1" applyFont="1" applyFill="1" applyBorder="1" applyAlignment="1" applyProtection="1"/>
    <xf numFmtId="164" fontId="6" fillId="0" borderId="17" xfId="74" applyNumberFormat="1" applyFont="1" applyFill="1" applyBorder="1" applyAlignment="1" applyProtection="1"/>
    <xf numFmtId="164" fontId="7" fillId="0" borderId="19" xfId="74" applyNumberFormat="1" applyFont="1" applyFill="1" applyBorder="1" applyAlignment="1" applyProtection="1"/>
    <xf numFmtId="164" fontId="7" fillId="0" borderId="22" xfId="74" applyNumberFormat="1" applyFont="1" applyFill="1" applyBorder="1" applyAlignment="1" applyProtection="1"/>
    <xf numFmtId="164" fontId="7" fillId="0" borderId="24" xfId="74" applyNumberFormat="1" applyFont="1" applyFill="1" applyBorder="1" applyAlignment="1" applyProtection="1"/>
    <xf numFmtId="0" fontId="6" fillId="0" borderId="12" xfId="77" applyNumberFormat="1" applyFont="1" applyFill="1" applyBorder="1" applyAlignment="1" applyProtection="1"/>
    <xf numFmtId="164" fontId="6" fillId="0" borderId="14" xfId="74" applyNumberFormat="1" applyFont="1" applyFill="1" applyBorder="1" applyAlignment="1" applyProtection="1"/>
    <xf numFmtId="166" fontId="7" fillId="0" borderId="26" xfId="77" applyNumberFormat="1" applyFont="1" applyFill="1" applyBorder="1" applyAlignment="1" applyProtection="1">
      <alignment horizontal="right"/>
    </xf>
    <xf numFmtId="166" fontId="7" fillId="0" borderId="39" xfId="77" applyNumberFormat="1" applyFont="1" applyFill="1" applyBorder="1" applyAlignment="1" applyProtection="1">
      <alignment horizontal="right"/>
    </xf>
    <xf numFmtId="164" fontId="7" fillId="0" borderId="39" xfId="74" applyNumberFormat="1" applyFont="1" applyFill="1" applyBorder="1" applyAlignment="1" applyProtection="1">
      <alignment horizontal="right"/>
    </xf>
    <xf numFmtId="166" fontId="7" fillId="0" borderId="21" xfId="77" applyNumberFormat="1" applyFont="1" applyFill="1" applyBorder="1" applyAlignment="1" applyProtection="1">
      <alignment horizontal="right"/>
    </xf>
    <xf numFmtId="166" fontId="7" fillId="0" borderId="35" xfId="77" applyNumberFormat="1" applyFont="1" applyFill="1" applyBorder="1" applyAlignment="1" applyProtection="1">
      <alignment horizontal="right"/>
    </xf>
    <xf numFmtId="164" fontId="7" fillId="0" borderId="35" xfId="74" applyNumberFormat="1" applyFont="1" applyFill="1" applyBorder="1" applyAlignment="1" applyProtection="1">
      <alignment horizontal="right"/>
    </xf>
    <xf numFmtId="166" fontId="7" fillId="0" borderId="23" xfId="77" applyNumberFormat="1" applyFont="1" applyFill="1" applyBorder="1" applyAlignment="1" applyProtection="1">
      <alignment horizontal="right"/>
    </xf>
    <xf numFmtId="166" fontId="7" fillId="0" borderId="36" xfId="77" applyNumberFormat="1" applyFont="1" applyFill="1" applyBorder="1" applyAlignment="1" applyProtection="1">
      <alignment horizontal="right"/>
    </xf>
    <xf numFmtId="164" fontId="7" fillId="0" borderId="36" xfId="74" applyNumberFormat="1" applyFont="1" applyFill="1" applyBorder="1" applyAlignment="1" applyProtection="1">
      <alignment horizontal="right"/>
    </xf>
    <xf numFmtId="0" fontId="7" fillId="0" borderId="43" xfId="77" quotePrefix="1" applyNumberFormat="1" applyFont="1" applyFill="1" applyBorder="1" applyAlignment="1" applyProtection="1">
      <alignment horizontal="center"/>
    </xf>
    <xf numFmtId="166" fontId="7" fillId="0" borderId="28" xfId="77" applyNumberFormat="1" applyFont="1" applyFill="1" applyBorder="1" applyAlignment="1" applyProtection="1">
      <alignment horizontal="right"/>
    </xf>
    <xf numFmtId="166" fontId="7" fillId="0" borderId="40" xfId="77" applyNumberFormat="1" applyFont="1" applyFill="1" applyBorder="1" applyAlignment="1" applyProtection="1">
      <alignment horizontal="right"/>
    </xf>
    <xf numFmtId="164" fontId="7" fillId="0" borderId="40" xfId="74" applyNumberFormat="1" applyFont="1" applyFill="1" applyBorder="1" applyAlignment="1" applyProtection="1">
      <alignment horizontal="right"/>
    </xf>
    <xf numFmtId="166" fontId="7" fillId="0" borderId="18" xfId="77" applyNumberFormat="1" applyFont="1" applyFill="1" applyBorder="1" applyAlignment="1" applyProtection="1">
      <alignment horizontal="right"/>
    </xf>
    <xf numFmtId="166" fontId="7" fillId="0" borderId="33" xfId="77" applyNumberFormat="1" applyFont="1" applyFill="1" applyBorder="1" applyAlignment="1" applyProtection="1">
      <alignment horizontal="right"/>
    </xf>
    <xf numFmtId="164" fontId="7" fillId="0" borderId="33" xfId="74" applyNumberFormat="1" applyFont="1" applyFill="1" applyBorder="1" applyAlignment="1" applyProtection="1">
      <alignment horizontal="right"/>
    </xf>
    <xf numFmtId="0" fontId="6" fillId="0" borderId="44" xfId="77" applyNumberFormat="1" applyFont="1" applyFill="1" applyBorder="1" applyAlignment="1" applyProtection="1"/>
    <xf numFmtId="166" fontId="6" fillId="0" borderId="31" xfId="77" applyNumberFormat="1" applyFont="1" applyFill="1" applyBorder="1" applyAlignment="1" applyProtection="1"/>
    <xf numFmtId="166" fontId="6" fillId="0" borderId="45" xfId="77" applyNumberFormat="1" applyFont="1" applyFill="1" applyBorder="1" applyAlignment="1" applyProtection="1"/>
    <xf numFmtId="164" fontId="6" fillId="0" borderId="45" xfId="74" applyNumberFormat="1" applyFont="1" applyFill="1" applyBorder="1" applyAlignment="1" applyProtection="1">
      <alignment horizontal="right"/>
    </xf>
    <xf numFmtId="164" fontId="7" fillId="0" borderId="26" xfId="74" applyNumberFormat="1" applyFont="1" applyFill="1" applyBorder="1" applyAlignment="1" applyProtection="1"/>
    <xf numFmtId="164" fontId="7" fillId="0" borderId="27" xfId="74" applyNumberFormat="1" applyFont="1" applyFill="1" applyBorder="1" applyAlignment="1" applyProtection="1"/>
    <xf numFmtId="164" fontId="7" fillId="0" borderId="23" xfId="74" applyNumberFormat="1" applyFont="1" applyFill="1" applyBorder="1" applyAlignment="1" applyProtection="1"/>
    <xf numFmtId="0" fontId="6" fillId="0" borderId="4" xfId="77" applyNumberFormat="1" applyFont="1" applyFill="1" applyBorder="1" applyAlignment="1" applyProtection="1">
      <alignment horizontal="center"/>
    </xf>
    <xf numFmtId="0" fontId="6" fillId="0" borderId="4" xfId="77" applyNumberFormat="1" applyFont="1" applyFill="1" applyBorder="1" applyAlignment="1" applyProtection="1">
      <alignment horizontal="left"/>
    </xf>
    <xf numFmtId="164" fontId="6" fillId="0" borderId="4" xfId="74" applyNumberFormat="1" applyFont="1" applyFill="1" applyBorder="1" applyAlignment="1" applyProtection="1">
      <alignment horizontal="center"/>
    </xf>
    <xf numFmtId="164" fontId="7" fillId="0" borderId="27" xfId="74" applyNumberFormat="1" applyFont="1" applyFill="1" applyBorder="1" applyAlignment="1" applyProtection="1">
      <alignment horizontal="right"/>
    </xf>
    <xf numFmtId="164" fontId="7" fillId="0" borderId="22" xfId="74" applyNumberFormat="1" applyFont="1" applyFill="1" applyBorder="1" applyAlignment="1" applyProtection="1">
      <alignment horizontal="right"/>
    </xf>
    <xf numFmtId="164" fontId="6" fillId="25" borderId="28" xfId="74" applyNumberFormat="1" applyFont="1" applyFill="1" applyBorder="1" applyAlignment="1" applyProtection="1">
      <alignment horizontal="right"/>
    </xf>
    <xf numFmtId="164" fontId="6" fillId="0" borderId="29" xfId="74" applyNumberFormat="1" applyFont="1" applyFill="1" applyBorder="1" applyAlignment="1" applyProtection="1">
      <alignment horizontal="right"/>
    </xf>
    <xf numFmtId="164" fontId="7" fillId="25" borderId="31" xfId="74" applyNumberFormat="1" applyFont="1" applyFill="1" applyBorder="1" applyAlignment="1" applyProtection="1">
      <alignment horizontal="right"/>
    </xf>
    <xf numFmtId="164" fontId="6" fillId="0" borderId="32" xfId="74" applyNumberFormat="1" applyFont="1" applyFill="1" applyBorder="1" applyAlignment="1" applyProtection="1">
      <alignment horizontal="right"/>
    </xf>
    <xf numFmtId="164" fontId="7" fillId="0" borderId="29" xfId="74" applyNumberFormat="1" applyFont="1" applyFill="1" applyBorder="1" applyAlignment="1" applyProtection="1">
      <alignment horizontal="right"/>
    </xf>
    <xf numFmtId="0" fontId="6" fillId="0" borderId="44" xfId="77" quotePrefix="1" applyNumberFormat="1" applyFont="1" applyFill="1" applyBorder="1" applyAlignment="1" applyProtection="1">
      <alignment horizontal="left"/>
    </xf>
    <xf numFmtId="0" fontId="6" fillId="0" borderId="44" xfId="77" applyNumberFormat="1" applyFont="1" applyFill="1" applyBorder="1" applyAlignment="1" applyProtection="1">
      <alignment horizontal="right"/>
    </xf>
    <xf numFmtId="164" fontId="7" fillId="25" borderId="44" xfId="74" applyNumberFormat="1" applyFont="1" applyFill="1" applyBorder="1" applyAlignment="1" applyProtection="1">
      <alignment horizontal="right"/>
    </xf>
    <xf numFmtId="164" fontId="6" fillId="0" borderId="16" xfId="74" applyNumberFormat="1" applyFont="1" applyFill="1" applyBorder="1" applyAlignment="1" applyProtection="1">
      <alignment horizontal="right"/>
    </xf>
    <xf numFmtId="164" fontId="7" fillId="0" borderId="31" xfId="74" applyNumberFormat="1" applyFont="1" applyFill="1" applyBorder="1" applyAlignment="1" applyProtection="1">
      <alignment horizontal="right"/>
    </xf>
    <xf numFmtId="164" fontId="7" fillId="0" borderId="32" xfId="74" applyNumberFormat="1" applyFont="1" applyFill="1" applyBorder="1" applyAlignment="1" applyProtection="1">
      <alignment horizontal="right"/>
    </xf>
    <xf numFmtId="164" fontId="7" fillId="25" borderId="21" xfId="74" applyNumberFormat="1" applyFont="1" applyFill="1" applyBorder="1" applyAlignment="1" applyProtection="1">
      <alignment horizontal="right"/>
    </xf>
    <xf numFmtId="164" fontId="7" fillId="26" borderId="39" xfId="74" applyNumberFormat="1" applyFont="1" applyFill="1" applyBorder="1" applyAlignment="1" applyProtection="1">
      <protection locked="0"/>
    </xf>
    <xf numFmtId="0" fontId="7" fillId="0" borderId="0" xfId="77" applyNumberFormat="1" applyFont="1" applyFill="1" applyAlignment="1" applyProtection="1">
      <alignment horizontal="right"/>
    </xf>
    <xf numFmtId="164" fontId="7" fillId="26" borderId="40" xfId="74" applyNumberFormat="1" applyFont="1" applyFill="1" applyBorder="1" applyAlignment="1" applyProtection="1">
      <protection locked="0"/>
    </xf>
    <xf numFmtId="0" fontId="5" fillId="0" borderId="0" xfId="77" applyNumberFormat="1" applyFont="1" applyFill="1" applyAlignment="1" applyProtection="1">
      <alignment horizontal="right"/>
    </xf>
    <xf numFmtId="0" fontId="7" fillId="0" borderId="0" xfId="77" applyNumberFormat="1" applyFont="1" applyFill="1" applyBorder="1" applyAlignment="1" applyProtection="1"/>
    <xf numFmtId="0" fontId="7" fillId="0" borderId="0" xfId="77" applyNumberFormat="1" applyFont="1" applyFill="1" applyBorder="1" applyAlignment="1" applyProtection="1">
      <alignment horizontal="left"/>
    </xf>
    <xf numFmtId="0" fontId="7" fillId="0" borderId="0" xfId="77" quotePrefix="1" applyNumberFormat="1" applyFont="1" applyFill="1" applyBorder="1" applyAlignment="1" applyProtection="1">
      <alignment horizontal="left"/>
    </xf>
    <xf numFmtId="0" fontId="7" fillId="0" borderId="13" xfId="77" applyNumberFormat="1" applyFont="1" applyFill="1" applyBorder="1" applyAlignment="1" applyProtection="1">
      <alignment horizontal="right"/>
    </xf>
    <xf numFmtId="164" fontId="7" fillId="25" borderId="13" xfId="74" applyNumberFormat="1" applyFont="1" applyFill="1" applyBorder="1" applyAlignment="1" applyProtection="1">
      <alignment horizontal="right"/>
    </xf>
    <xf numFmtId="164" fontId="7" fillId="0" borderId="14" xfId="74" applyNumberFormat="1" applyFont="1" applyFill="1" applyBorder="1" applyAlignment="1" applyProtection="1">
      <alignment horizontal="right"/>
    </xf>
    <xf numFmtId="164" fontId="7" fillId="0" borderId="24" xfId="74" applyNumberFormat="1" applyFont="1" applyFill="1" applyBorder="1" applyAlignment="1" applyProtection="1">
      <alignment horizontal="right"/>
    </xf>
    <xf numFmtId="164" fontId="7" fillId="0" borderId="19" xfId="74" applyNumberFormat="1" applyFont="1" applyFill="1" applyBorder="1" applyAlignment="1" applyProtection="1">
      <alignment horizontal="right"/>
    </xf>
    <xf numFmtId="0" fontId="7" fillId="0" borderId="0" xfId="72" applyNumberFormat="1" applyFont="1" applyFill="1" applyAlignment="1" applyProtection="1"/>
    <xf numFmtId="164" fontId="7" fillId="0" borderId="13" xfId="74" applyNumberFormat="1" applyFont="1" applyFill="1" applyBorder="1" applyAlignment="1" applyProtection="1">
      <alignment horizontal="right"/>
    </xf>
    <xf numFmtId="0" fontId="7" fillId="0" borderId="0" xfId="77" applyNumberFormat="1" applyFont="1" applyFill="1" applyBorder="1" applyAlignment="1" applyProtection="1">
      <alignment horizontal="right"/>
    </xf>
    <xf numFmtId="0" fontId="5" fillId="0" borderId="0" xfId="77" applyNumberFormat="1" applyFont="1" applyFill="1" applyBorder="1" applyAlignment="1" applyProtection="1">
      <alignment horizontal="right"/>
    </xf>
    <xf numFmtId="0" fontId="5" fillId="0" borderId="0" xfId="72" applyNumberFormat="1" applyFont="1" applyFill="1" applyAlignment="1" applyProtection="1"/>
    <xf numFmtId="0" fontId="7" fillId="0" borderId="0" xfId="77" applyNumberFormat="1" applyFont="1" applyFill="1" applyBorder="1" applyAlignment="1" applyProtection="1">
      <alignment horizontal="center"/>
    </xf>
    <xf numFmtId="0" fontId="7" fillId="0" borderId="46" xfId="77" applyNumberFormat="1" applyFont="1" applyFill="1" applyBorder="1" applyAlignment="1" applyProtection="1">
      <alignment horizontal="center"/>
    </xf>
    <xf numFmtId="164" fontId="6" fillId="0" borderId="14" xfId="74" applyNumberFormat="1" applyFont="1" applyFill="1" applyBorder="1" applyAlignment="1" applyProtection="1">
      <alignment horizontal="right"/>
    </xf>
    <xf numFmtId="164" fontId="7" fillId="0" borderId="17" xfId="74" applyNumberFormat="1" applyFont="1" applyFill="1" applyBorder="1" applyAlignment="1" applyProtection="1">
      <alignment horizontal="right"/>
    </xf>
    <xf numFmtId="0" fontId="7" fillId="0" borderId="25" xfId="77" quotePrefix="1" applyNumberFormat="1" applyFont="1" applyFill="1" applyBorder="1" applyAlignment="1" applyProtection="1">
      <alignment horizontal="left"/>
    </xf>
    <xf numFmtId="0" fontId="7" fillId="0" borderId="20" xfId="77" applyNumberFormat="1" applyFont="1" applyFill="1" applyBorder="1" applyAlignment="1" applyProtection="1"/>
    <xf numFmtId="0" fontId="7" fillId="0" borderId="20" xfId="77" applyNumberFormat="1" applyFont="1" applyFill="1" applyBorder="1" applyAlignment="1" applyProtection="1">
      <alignment horizontal="left"/>
    </xf>
    <xf numFmtId="0" fontId="6" fillId="0" borderId="47" xfId="77" quotePrefix="1" applyNumberFormat="1" applyFont="1" applyFill="1" applyBorder="1" applyAlignment="1" applyProtection="1">
      <alignment horizontal="left"/>
    </xf>
    <xf numFmtId="0" fontId="7" fillId="0" borderId="25" xfId="77" applyNumberFormat="1" applyFont="1" applyFill="1" applyBorder="1" applyAlignment="1" applyProtection="1"/>
    <xf numFmtId="0" fontId="7" fillId="0" borderId="20" xfId="77" quotePrefix="1" applyNumberFormat="1" applyFont="1" applyFill="1" applyBorder="1" applyAlignment="1" applyProtection="1">
      <alignment horizontal="left"/>
    </xf>
    <xf numFmtId="0" fontId="7" fillId="0" borderId="47" xfId="77" applyNumberFormat="1" applyFont="1" applyFill="1" applyBorder="1" applyAlignment="1" applyProtection="1">
      <alignment horizontal="left"/>
    </xf>
    <xf numFmtId="0" fontId="6" fillId="0" borderId="0" xfId="77" applyNumberFormat="1" applyFont="1" applyFill="1" applyBorder="1" applyAlignment="1" applyProtection="1">
      <alignment horizontal="centerContinuous"/>
    </xf>
    <xf numFmtId="0" fontId="7" fillId="25" borderId="31" xfId="77" applyNumberFormat="1" applyFont="1" applyFill="1" applyBorder="1" applyAlignment="1" applyProtection="1"/>
    <xf numFmtId="164" fontId="7" fillId="0" borderId="45" xfId="74" applyNumberFormat="1" applyFont="1" applyFill="1" applyBorder="1" applyAlignment="1" applyProtection="1"/>
    <xf numFmtId="0" fontId="6" fillId="0" borderId="51" xfId="77" quotePrefix="1" applyNumberFormat="1" applyFont="1" applyFill="1" applyBorder="1" applyAlignment="1" applyProtection="1">
      <alignment horizontal="left"/>
    </xf>
    <xf numFmtId="0" fontId="7" fillId="0" borderId="47" xfId="77" applyNumberFormat="1" applyFont="1" applyFill="1" applyBorder="1" applyAlignment="1" applyProtection="1"/>
    <xf numFmtId="0" fontId="6" fillId="0" borderId="62" xfId="77" quotePrefix="1" applyNumberFormat="1" applyFont="1" applyFill="1" applyBorder="1" applyAlignment="1" applyProtection="1">
      <alignment horizontal="left"/>
    </xf>
    <xf numFmtId="0" fontId="7" fillId="0" borderId="71" xfId="77" applyNumberFormat="1" applyFont="1" applyFill="1" applyBorder="1" applyAlignment="1" applyProtection="1"/>
    <xf numFmtId="0" fontId="7" fillId="0" borderId="64" xfId="77" applyNumberFormat="1" applyFont="1" applyFill="1" applyBorder="1" applyAlignment="1" applyProtection="1"/>
    <xf numFmtId="0" fontId="6" fillId="0" borderId="65" xfId="77" applyNumberFormat="1" applyFont="1" applyFill="1" applyBorder="1" applyAlignment="1" applyProtection="1"/>
    <xf numFmtId="0" fontId="7" fillId="0" borderId="71" xfId="77" applyNumberFormat="1" applyFont="1" applyFill="1" applyBorder="1" applyAlignment="1" applyProtection="1">
      <alignment horizontal="left"/>
    </xf>
    <xf numFmtId="0" fontId="7" fillId="0" borderId="64" xfId="77" applyNumberFormat="1" applyFont="1" applyFill="1" applyBorder="1" applyAlignment="1" applyProtection="1">
      <alignment horizontal="left"/>
    </xf>
    <xf numFmtId="0" fontId="7" fillId="0" borderId="65" xfId="77" applyNumberFormat="1" applyFont="1" applyFill="1" applyBorder="1" applyAlignment="1" applyProtection="1">
      <alignment horizontal="left"/>
    </xf>
    <xf numFmtId="164" fontId="7" fillId="22" borderId="57" xfId="74" applyNumberFormat="1" applyFont="1" applyFill="1" applyBorder="1" applyAlignment="1" applyProtection="1">
      <alignment horizontal="right"/>
      <protection locked="0"/>
    </xf>
    <xf numFmtId="164" fontId="7" fillId="22" borderId="52" xfId="74" applyNumberFormat="1" applyFont="1" applyFill="1" applyBorder="1" applyAlignment="1" applyProtection="1">
      <alignment horizontal="right"/>
      <protection locked="0"/>
    </xf>
    <xf numFmtId="164" fontId="6" fillId="0" borderId="54" xfId="74" applyNumberFormat="1" applyFont="1" applyFill="1" applyBorder="1" applyAlignment="1" applyProtection="1">
      <alignment horizontal="right"/>
    </xf>
    <xf numFmtId="164" fontId="7" fillId="22" borderId="54" xfId="74" applyNumberFormat="1" applyFont="1" applyFill="1" applyBorder="1" applyAlignment="1" applyProtection="1">
      <alignment horizontal="right"/>
      <protection locked="0"/>
    </xf>
    <xf numFmtId="0" fontId="6" fillId="0" borderId="15" xfId="77" applyNumberFormat="1" applyFont="1" applyFill="1" applyBorder="1" applyAlignment="1" applyProtection="1">
      <alignment horizontal="centerContinuous"/>
    </xf>
    <xf numFmtId="0" fontId="7" fillId="0" borderId="65" xfId="77" applyNumberFormat="1" applyFont="1" applyFill="1" applyBorder="1" applyAlignment="1" applyProtection="1"/>
    <xf numFmtId="0" fontId="7" fillId="0" borderId="61" xfId="77" applyNumberFormat="1" applyFont="1" applyFill="1" applyBorder="1" applyAlignment="1" applyProtection="1"/>
    <xf numFmtId="0" fontId="6" fillId="0" borderId="62" xfId="77" applyNumberFormat="1" applyFont="1" applyFill="1" applyBorder="1" applyAlignment="1" applyProtection="1"/>
    <xf numFmtId="0" fontId="7" fillId="0" borderId="49" xfId="77" applyNumberFormat="1" applyFont="1" applyFill="1" applyBorder="1" applyAlignment="1" applyProtection="1"/>
    <xf numFmtId="0" fontId="7" fillId="0" borderId="12" xfId="77" applyNumberFormat="1" applyFont="1" applyFill="1" applyBorder="1" applyAlignment="1" applyProtection="1"/>
    <xf numFmtId="0" fontId="7" fillId="0" borderId="25" xfId="77" applyNumberFormat="1" applyFont="1" applyFill="1" applyBorder="1" applyAlignment="1" applyProtection="1">
      <alignment horizontal="right"/>
    </xf>
    <xf numFmtId="0" fontId="7" fillId="0" borderId="47" xfId="77" applyNumberFormat="1" applyFont="1" applyFill="1" applyBorder="1" applyAlignment="1" applyProtection="1">
      <alignment horizontal="right"/>
    </xf>
    <xf numFmtId="164" fontId="6" fillId="0" borderId="4" xfId="74" applyNumberFormat="1" applyFont="1" applyFill="1" applyBorder="1" applyAlignment="1" applyProtection="1"/>
    <xf numFmtId="0" fontId="7" fillId="0" borderId="30" xfId="77" applyNumberFormat="1" applyFont="1" applyFill="1" applyBorder="1" applyAlignment="1" applyProtection="1"/>
    <xf numFmtId="0" fontId="7" fillId="0" borderId="20" xfId="77" applyNumberFormat="1" applyFont="1" applyFill="1" applyBorder="1" applyAlignment="1" applyProtection="1">
      <alignment horizontal="right"/>
    </xf>
    <xf numFmtId="0" fontId="6" fillId="0" borderId="47" xfId="77" applyNumberFormat="1" applyFont="1" applyFill="1" applyBorder="1" applyAlignment="1" applyProtection="1"/>
    <xf numFmtId="166" fontId="7" fillId="0" borderId="25" xfId="77" applyNumberFormat="1" applyFont="1" applyFill="1" applyBorder="1" applyAlignment="1" applyProtection="1">
      <alignment horizontal="right"/>
    </xf>
    <xf numFmtId="166" fontId="7" fillId="0" borderId="20" xfId="77" applyNumberFormat="1" applyFont="1" applyFill="1" applyBorder="1" applyAlignment="1" applyProtection="1">
      <alignment horizontal="right"/>
    </xf>
    <xf numFmtId="166" fontId="7" fillId="0" borderId="61" xfId="77" applyNumberFormat="1" applyFont="1" applyFill="1" applyBorder="1" applyAlignment="1" applyProtection="1">
      <alignment horizontal="right"/>
    </xf>
    <xf numFmtId="166" fontId="7" fillId="0" borderId="47" xfId="77" applyNumberFormat="1" applyFont="1" applyFill="1" applyBorder="1" applyAlignment="1" applyProtection="1">
      <alignment horizontal="right"/>
    </xf>
    <xf numFmtId="166" fontId="7" fillId="0" borderId="63" xfId="77" applyNumberFormat="1" applyFont="1" applyFill="1" applyBorder="1" applyAlignment="1" applyProtection="1">
      <alignment horizontal="right"/>
    </xf>
    <xf numFmtId="166" fontId="6" fillId="0" borderId="30" xfId="77" applyNumberFormat="1" applyFont="1" applyFill="1" applyBorder="1" applyAlignment="1" applyProtection="1">
      <alignment horizontal="right"/>
    </xf>
    <xf numFmtId="0" fontId="7" fillId="0" borderId="63" xfId="77" applyNumberFormat="1" applyFont="1" applyFill="1" applyBorder="1" applyAlignment="1" applyProtection="1"/>
    <xf numFmtId="0" fontId="6" fillId="0" borderId="25" xfId="77" applyNumberFormat="1" applyFont="1" applyFill="1" applyBorder="1" applyAlignment="1" applyProtection="1"/>
    <xf numFmtId="0" fontId="6" fillId="0" borderId="56" xfId="77" applyNumberFormat="1" applyFont="1" applyFill="1" applyBorder="1" applyAlignment="1" applyProtection="1"/>
    <xf numFmtId="0" fontId="7" fillId="0" borderId="58" xfId="77" applyNumberFormat="1" applyFont="1" applyFill="1" applyBorder="1" applyAlignment="1" applyProtection="1">
      <alignment horizontal="left"/>
    </xf>
    <xf numFmtId="0" fontId="7" fillId="0" borderId="53" xfId="77" applyNumberFormat="1" applyFont="1" applyFill="1" applyBorder="1" applyAlignment="1" applyProtection="1">
      <alignment horizontal="left"/>
    </xf>
    <xf numFmtId="0" fontId="7" fillId="0" borderId="53" xfId="77" quotePrefix="1" applyNumberFormat="1" applyFont="1" applyFill="1" applyBorder="1" applyAlignment="1" applyProtection="1">
      <alignment horizontal="left"/>
    </xf>
    <xf numFmtId="0" fontId="7" fillId="0" borderId="55" xfId="77" quotePrefix="1" applyNumberFormat="1" applyFont="1" applyFill="1" applyBorder="1" applyAlignment="1" applyProtection="1">
      <alignment horizontal="left"/>
    </xf>
    <xf numFmtId="0" fontId="7" fillId="0" borderId="57" xfId="77" quotePrefix="1" applyNumberFormat="1" applyFont="1" applyFill="1" applyBorder="1" applyAlignment="1" applyProtection="1">
      <alignment horizontal="center"/>
    </xf>
    <xf numFmtId="0" fontId="7" fillId="0" borderId="52" xfId="77" quotePrefix="1" applyNumberFormat="1" applyFont="1" applyFill="1" applyBorder="1" applyAlignment="1" applyProtection="1">
      <alignment horizontal="center"/>
    </xf>
    <xf numFmtId="0" fontId="7" fillId="0" borderId="54" xfId="77" quotePrefix="1" applyNumberFormat="1" applyFont="1" applyFill="1" applyBorder="1" applyAlignment="1" applyProtection="1">
      <alignment horizontal="center"/>
    </xf>
    <xf numFmtId="0" fontId="6" fillId="0" borderId="4" xfId="77" applyNumberFormat="1" applyFont="1" applyFill="1" applyBorder="1" applyAlignment="1" applyProtection="1"/>
    <xf numFmtId="0" fontId="7" fillId="0" borderId="58" xfId="50" applyNumberFormat="1" applyFont="1" applyFill="1" applyBorder="1" applyAlignment="1" applyProtection="1"/>
    <xf numFmtId="0" fontId="7" fillId="0" borderId="53" xfId="50" applyNumberFormat="1" applyFont="1" applyFill="1" applyBorder="1" applyAlignment="1" applyProtection="1"/>
    <xf numFmtId="0" fontId="7" fillId="0" borderId="55" xfId="50" applyNumberFormat="1" applyFont="1" applyFill="1" applyBorder="1" applyAlignment="1" applyProtection="1"/>
    <xf numFmtId="0" fontId="6" fillId="0" borderId="70" xfId="77" quotePrefix="1" applyNumberFormat="1" applyFont="1" applyFill="1" applyBorder="1" applyAlignment="1" applyProtection="1">
      <alignment horizontal="left"/>
    </xf>
    <xf numFmtId="0" fontId="6" fillId="0" borderId="16" xfId="77" applyNumberFormat="1" applyFont="1" applyFill="1" applyBorder="1" applyAlignment="1" applyProtection="1"/>
    <xf numFmtId="0" fontId="7" fillId="0" borderId="59" xfId="77" quotePrefix="1" applyNumberFormat="1" applyFont="1" applyFill="1" applyBorder="1" applyAlignment="1" applyProtection="1">
      <alignment horizontal="left"/>
    </xf>
    <xf numFmtId="0" fontId="7" fillId="0" borderId="55" xfId="77" applyNumberFormat="1" applyFont="1" applyFill="1" applyBorder="1" applyAlignment="1" applyProtection="1">
      <alignment horizontal="left"/>
    </xf>
    <xf numFmtId="0" fontId="7" fillId="0" borderId="69" xfId="77" applyNumberFormat="1" applyFont="1" applyFill="1" applyBorder="1" applyAlignment="1" applyProtection="1"/>
    <xf numFmtId="0" fontId="6" fillId="0" borderId="70" xfId="77" applyNumberFormat="1" applyFont="1" applyFill="1" applyBorder="1" applyAlignment="1" applyProtection="1"/>
    <xf numFmtId="0" fontId="7" fillId="0" borderId="4" xfId="77" quotePrefix="1" applyNumberFormat="1" applyFont="1" applyFill="1" applyBorder="1" applyAlignment="1" applyProtection="1">
      <alignment horizontal="center"/>
    </xf>
    <xf numFmtId="0" fontId="7" fillId="0" borderId="58" xfId="77" applyNumberFormat="1" applyFont="1" applyFill="1" applyBorder="1" applyAlignment="1" applyProtection="1"/>
    <xf numFmtId="0" fontId="7" fillId="0" borderId="53" xfId="77" applyNumberFormat="1" applyFont="1" applyFill="1" applyBorder="1" applyAlignment="1" applyProtection="1"/>
    <xf numFmtId="0" fontId="7" fillId="0" borderId="60" xfId="77" applyNumberFormat="1" applyFont="1" applyFill="1" applyBorder="1" applyAlignment="1" applyProtection="1">
      <alignment horizontal="left"/>
    </xf>
    <xf numFmtId="0" fontId="7" fillId="0" borderId="58" xfId="77" quotePrefix="1" applyNumberFormat="1" applyFont="1" applyFill="1" applyBorder="1" applyAlignment="1" applyProtection="1">
      <alignment horizontal="left"/>
    </xf>
    <xf numFmtId="0" fontId="7" fillId="0" borderId="39" xfId="77" applyNumberFormat="1" applyFont="1" applyFill="1" applyBorder="1" applyAlignment="1" applyProtection="1"/>
    <xf numFmtId="0" fontId="7" fillId="0" borderId="40" xfId="77" applyNumberFormat="1" applyFont="1" applyFill="1" applyBorder="1" applyAlignment="1" applyProtection="1"/>
    <xf numFmtId="0" fontId="6" fillId="0" borderId="70" xfId="77" applyNumberFormat="1" applyFont="1" applyFill="1" applyBorder="1" applyAlignment="1" applyProtection="1">
      <alignment horizontal="left"/>
    </xf>
    <xf numFmtId="0" fontId="7" fillId="0" borderId="54" xfId="77" quotePrefix="1" applyNumberFormat="1" applyFont="1" applyFill="1" applyBorder="1" applyAlignment="1" applyProtection="1"/>
    <xf numFmtId="0" fontId="6" fillId="0" borderId="16" xfId="77" quotePrefix="1" applyNumberFormat="1" applyFont="1" applyFill="1" applyBorder="1" applyAlignment="1" applyProtection="1">
      <alignment horizontal="center"/>
    </xf>
    <xf numFmtId="0" fontId="7" fillId="0" borderId="52" xfId="77" applyNumberFormat="1" applyFont="1" applyFill="1" applyBorder="1" applyAlignment="1" applyProtection="1">
      <alignment horizontal="center"/>
    </xf>
    <xf numFmtId="0" fontId="7" fillId="0" borderId="57" xfId="77" applyNumberFormat="1" applyFont="1" applyFill="1" applyBorder="1" applyAlignment="1" applyProtection="1">
      <alignment horizontal="center"/>
    </xf>
    <xf numFmtId="0" fontId="7" fillId="0" borderId="16" xfId="77" applyNumberFormat="1" applyFont="1" applyFill="1" applyBorder="1" applyAlignment="1" applyProtection="1">
      <alignment horizontal="center"/>
    </xf>
    <xf numFmtId="0" fontId="7" fillId="0" borderId="60" xfId="77" quotePrefix="1" applyNumberFormat="1" applyFont="1" applyFill="1" applyBorder="1" applyAlignment="1" applyProtection="1">
      <alignment horizontal="left"/>
    </xf>
    <xf numFmtId="0" fontId="7" fillId="0" borderId="55" xfId="77" applyNumberFormat="1" applyFont="1" applyFill="1" applyBorder="1" applyAlignment="1" applyProtection="1"/>
    <xf numFmtId="0" fontId="7" fillId="0" borderId="67" xfId="77" quotePrefix="1" applyNumberFormat="1" applyFont="1" applyFill="1" applyBorder="1" applyAlignment="1" applyProtection="1">
      <alignment horizontal="center"/>
    </xf>
    <xf numFmtId="0" fontId="7" fillId="0" borderId="54" xfId="77" applyNumberFormat="1" applyFont="1" applyFill="1" applyBorder="1" applyAlignment="1" applyProtection="1">
      <alignment horizontal="center"/>
    </xf>
    <xf numFmtId="0" fontId="6" fillId="0" borderId="55" xfId="77" quotePrefix="1" applyNumberFormat="1" applyFont="1" applyFill="1" applyBorder="1" applyAlignment="1" applyProtection="1">
      <alignment horizontal="left"/>
    </xf>
    <xf numFmtId="0" fontId="6" fillId="0" borderId="58" xfId="77" applyNumberFormat="1" applyFont="1" applyFill="1" applyBorder="1" applyAlignment="1" applyProtection="1">
      <alignment horizontal="left"/>
    </xf>
    <xf numFmtId="0" fontId="7" fillId="0" borderId="59" xfId="77" applyNumberFormat="1" applyFont="1" applyFill="1" applyBorder="1" applyAlignment="1" applyProtection="1">
      <alignment horizontal="left"/>
    </xf>
    <xf numFmtId="0" fontId="7" fillId="0" borderId="66" xfId="77" quotePrefix="1" applyNumberFormat="1" applyFont="1" applyFill="1" applyBorder="1" applyAlignment="1" applyProtection="1">
      <alignment horizontal="center"/>
    </xf>
    <xf numFmtId="0" fontId="6" fillId="0" borderId="66" xfId="77" quotePrefix="1" applyNumberFormat="1" applyFont="1" applyFill="1" applyBorder="1" applyAlignment="1" applyProtection="1">
      <alignment horizontal="center"/>
    </xf>
    <xf numFmtId="0" fontId="6" fillId="0" borderId="69" xfId="77" applyNumberFormat="1" applyFont="1" applyFill="1" applyBorder="1" applyAlignment="1" applyProtection="1">
      <alignment horizontal="left"/>
    </xf>
    <xf numFmtId="0" fontId="7" fillId="0" borderId="11" xfId="77" applyNumberFormat="1" applyFont="1" applyFill="1" applyBorder="1" applyAlignment="1" applyProtection="1">
      <alignment horizontal="left"/>
    </xf>
    <xf numFmtId="0" fontId="7" fillId="0" borderId="70" xfId="77" applyNumberFormat="1" applyFont="1" applyFill="1" applyBorder="1" applyAlignment="1" applyProtection="1">
      <alignment horizontal="left"/>
    </xf>
    <xf numFmtId="0" fontId="6" fillId="0" borderId="0" xfId="77" applyNumberFormat="1" applyFont="1" applyFill="1" applyBorder="1" applyAlignment="1" applyProtection="1">
      <alignment horizontal="left"/>
    </xf>
    <xf numFmtId="0" fontId="7" fillId="25" borderId="52" xfId="77" applyNumberFormat="1" applyFont="1" applyFill="1" applyBorder="1" applyAlignment="1" applyProtection="1">
      <alignment horizontal="center"/>
    </xf>
    <xf numFmtId="0" fontId="7" fillId="25" borderId="54" xfId="77" applyNumberFormat="1" applyFont="1" applyFill="1" applyBorder="1" applyAlignment="1" applyProtection="1">
      <alignment horizontal="center"/>
    </xf>
    <xf numFmtId="0" fontId="6" fillId="0" borderId="57" xfId="77" quotePrefix="1" applyNumberFormat="1" applyFont="1" applyFill="1" applyBorder="1" applyAlignment="1" applyProtection="1">
      <alignment horizontal="center"/>
    </xf>
    <xf numFmtId="0" fontId="7" fillId="25" borderId="52" xfId="77" quotePrefix="1" applyNumberFormat="1" applyFont="1" applyFill="1" applyBorder="1" applyAlignment="1" applyProtection="1">
      <alignment horizontal="center"/>
    </xf>
    <xf numFmtId="0" fontId="7" fillId="0" borderId="16" xfId="77" quotePrefix="1" applyNumberFormat="1" applyFont="1" applyFill="1" applyBorder="1" applyAlignment="1" applyProtection="1">
      <alignment horizontal="center"/>
    </xf>
    <xf numFmtId="0" fontId="6" fillId="0" borderId="50" xfId="77" quotePrefix="1" applyNumberFormat="1" applyFont="1" applyFill="1" applyBorder="1" applyAlignment="1" applyProtection="1">
      <alignment horizontal="center"/>
    </xf>
    <xf numFmtId="0" fontId="7" fillId="0" borderId="60" xfId="77" applyNumberFormat="1" applyFont="1" applyFill="1" applyBorder="1" applyAlignment="1" applyProtection="1"/>
    <xf numFmtId="0" fontId="5" fillId="0" borderId="0" xfId="77" applyNumberFormat="1" applyFont="1" applyFill="1" applyAlignment="1" applyProtection="1"/>
    <xf numFmtId="0" fontId="5" fillId="0" borderId="0" xfId="77" applyNumberFormat="1" applyFont="1" applyFill="1" applyAlignment="1" applyProtection="1">
      <alignment horizontal="center"/>
    </xf>
    <xf numFmtId="0" fontId="6" fillId="0" borderId="15" xfId="77" applyNumberFormat="1" applyFont="1" applyFill="1" applyBorder="1" applyAlignment="1" applyProtection="1">
      <alignment horizontal="center" vertical="center" wrapText="1"/>
    </xf>
    <xf numFmtId="0" fontId="6" fillId="0" borderId="69" xfId="77" applyNumberFormat="1" applyFont="1" applyFill="1" applyBorder="1" applyAlignment="1" applyProtection="1">
      <alignment horizontal="center" vertical="center" wrapText="1"/>
    </xf>
    <xf numFmtId="0" fontId="6" fillId="0" borderId="17" xfId="77" applyNumberFormat="1" applyFont="1" applyFill="1" applyBorder="1" applyAlignment="1" applyProtection="1">
      <alignment horizontal="center" vertical="center" wrapText="1"/>
    </xf>
    <xf numFmtId="0" fontId="3" fillId="0" borderId="0" xfId="77" applyNumberFormat="1" applyFont="1" applyFill="1" applyAlignment="1" applyProtection="1">
      <alignment horizontal="center"/>
    </xf>
    <xf numFmtId="0" fontId="6" fillId="0" borderId="4" xfId="77" quotePrefix="1" applyNumberFormat="1" applyFont="1" applyFill="1" applyBorder="1" applyAlignment="1" applyProtection="1">
      <alignment horizontal="center"/>
    </xf>
    <xf numFmtId="0" fontId="6" fillId="0" borderId="69" xfId="77" quotePrefix="1" applyNumberFormat="1" applyFont="1" applyFill="1" applyBorder="1" applyAlignment="1" applyProtection="1">
      <alignment horizontal="left"/>
    </xf>
    <xf numFmtId="0" fontId="6" fillId="0" borderId="0" xfId="77" applyNumberFormat="1" applyFont="1" applyFill="1" applyBorder="1" applyAlignment="1" applyProtection="1">
      <alignment horizontal="center" vertical="center" wrapText="1"/>
    </xf>
    <xf numFmtId="0" fontId="6" fillId="0" borderId="0" xfId="77" applyNumberFormat="1" applyFont="1" applyFill="1" applyBorder="1" applyAlignment="1" applyProtection="1">
      <alignment horizontal="center" vertical="center" wrapText="1"/>
    </xf>
    <xf numFmtId="0" fontId="6" fillId="0" borderId="15" xfId="77" applyNumberFormat="1" applyFont="1" applyFill="1" applyBorder="1" applyAlignment="1" applyProtection="1">
      <alignment horizontal="center" vertical="center" wrapText="1"/>
    </xf>
    <xf numFmtId="0" fontId="6" fillId="0" borderId="69" xfId="77" applyNumberFormat="1" applyFont="1" applyFill="1" applyBorder="1" applyAlignment="1" applyProtection="1">
      <alignment horizontal="center" vertical="center" wrapText="1"/>
    </xf>
    <xf numFmtId="0" fontId="6" fillId="0" borderId="17" xfId="77" applyNumberFormat="1" applyFont="1" applyFill="1" applyBorder="1" applyAlignment="1" applyProtection="1">
      <alignment horizontal="center" vertical="center" wrapText="1"/>
    </xf>
    <xf numFmtId="0" fontId="6" fillId="0" borderId="69" xfId="77" quotePrefix="1" applyNumberFormat="1" applyFont="1" applyFill="1" applyBorder="1" applyAlignment="1" applyProtection="1">
      <alignment horizontal="left"/>
    </xf>
    <xf numFmtId="0" fontId="6" fillId="0" borderId="4" xfId="77" quotePrefix="1" applyNumberFormat="1" applyFont="1" applyFill="1" applyBorder="1" applyAlignment="1" applyProtection="1">
      <alignment horizontal="center"/>
    </xf>
    <xf numFmtId="0" fontId="3" fillId="0" borderId="0" xfId="77" applyNumberFormat="1" applyFont="1" applyFill="1" applyAlignment="1" applyProtection="1">
      <alignment horizontal="center"/>
    </xf>
    <xf numFmtId="0" fontId="6" fillId="0" borderId="0" xfId="77" applyNumberFormat="1" applyFont="1" applyFill="1" applyBorder="1" applyAlignment="1" applyProtection="1">
      <alignment horizontal="center" vertical="center" wrapText="1"/>
    </xf>
    <xf numFmtId="0" fontId="6" fillId="0" borderId="15" xfId="77" applyNumberFormat="1" applyFont="1" applyFill="1" applyBorder="1" applyAlignment="1" applyProtection="1">
      <alignment horizontal="center" vertical="center" wrapText="1"/>
    </xf>
    <xf numFmtId="0" fontId="6" fillId="0" borderId="69" xfId="77" applyNumberFormat="1" applyFont="1" applyFill="1" applyBorder="1" applyAlignment="1" applyProtection="1">
      <alignment horizontal="center" vertical="center" wrapText="1"/>
    </xf>
    <xf numFmtId="0" fontId="6" fillId="0" borderId="17" xfId="77" applyNumberFormat="1" applyFont="1" applyFill="1" applyBorder="1" applyAlignment="1" applyProtection="1">
      <alignment horizontal="center" vertical="center" wrapText="1"/>
    </xf>
    <xf numFmtId="0" fontId="3" fillId="0" borderId="0" xfId="77" applyNumberFormat="1" applyFont="1" applyFill="1" applyAlignment="1" applyProtection="1">
      <alignment horizontal="center"/>
    </xf>
    <xf numFmtId="0" fontId="6" fillId="0" borderId="4" xfId="77" quotePrefix="1" applyNumberFormat="1" applyFont="1" applyFill="1" applyBorder="1" applyAlignment="1" applyProtection="1">
      <alignment horizontal="center"/>
    </xf>
    <xf numFmtId="0" fontId="6" fillId="0" borderId="69" xfId="77" quotePrefix="1" applyNumberFormat="1" applyFont="1" applyFill="1" applyBorder="1" applyAlignment="1" applyProtection="1">
      <alignment horizontal="left"/>
    </xf>
    <xf numFmtId="0" fontId="6" fillId="0" borderId="15" xfId="77" applyNumberFormat="1" applyFont="1" applyFill="1" applyBorder="1" applyAlignment="1" applyProtection="1">
      <alignment horizontal="center" vertical="center" wrapText="1"/>
    </xf>
    <xf numFmtId="0" fontId="6" fillId="0" borderId="69" xfId="77" applyNumberFormat="1" applyFont="1" applyFill="1" applyBorder="1" applyAlignment="1" applyProtection="1">
      <alignment horizontal="center" vertical="center" wrapText="1"/>
    </xf>
    <xf numFmtId="0" fontId="6" fillId="0" borderId="17" xfId="77" applyNumberFormat="1" applyFont="1" applyFill="1" applyBorder="1" applyAlignment="1" applyProtection="1">
      <alignment horizontal="center" vertical="center" wrapText="1"/>
    </xf>
    <xf numFmtId="0" fontId="6" fillId="0" borderId="0" xfId="77" applyNumberFormat="1" applyFont="1" applyFill="1" applyBorder="1" applyAlignment="1" applyProtection="1">
      <alignment horizontal="center" vertical="center" wrapText="1"/>
    </xf>
    <xf numFmtId="0" fontId="6" fillId="0" borderId="69" xfId="77" quotePrefix="1" applyNumberFormat="1" applyFont="1" applyFill="1" applyBorder="1" applyAlignment="1" applyProtection="1">
      <alignment horizontal="left"/>
    </xf>
    <xf numFmtId="0" fontId="6" fillId="0" borderId="4" xfId="77" quotePrefix="1" applyNumberFormat="1" applyFont="1" applyFill="1" applyBorder="1" applyAlignment="1" applyProtection="1">
      <alignment horizontal="center"/>
    </xf>
    <xf numFmtId="0" fontId="3" fillId="0" borderId="0" xfId="77" applyNumberFormat="1" applyFont="1" applyFill="1" applyAlignment="1" applyProtection="1">
      <alignment horizontal="center"/>
    </xf>
    <xf numFmtId="0" fontId="1" fillId="0" borderId="0" xfId="76"/>
    <xf numFmtId="0" fontId="8" fillId="0" borderId="0" xfId="102" applyNumberFormat="1" applyFont="1" applyFill="1" applyAlignment="1" applyProtection="1">
      <alignment horizontal="left"/>
    </xf>
    <xf numFmtId="0" fontId="7" fillId="0" borderId="0" xfId="102" applyNumberFormat="1" applyFont="1" applyFill="1" applyAlignment="1" applyProtection="1">
      <alignment horizontal="centerContinuous"/>
    </xf>
    <xf numFmtId="0" fontId="7" fillId="0" borderId="0" xfId="102" quotePrefix="1" applyNumberFormat="1" applyFont="1" applyFill="1" applyAlignment="1" applyProtection="1">
      <alignment horizontal="center"/>
    </xf>
    <xf numFmtId="0" fontId="7" fillId="0" borderId="0" xfId="102" applyNumberFormat="1" applyFont="1" applyFill="1" applyAlignment="1" applyProtection="1">
      <alignment horizontal="center"/>
    </xf>
    <xf numFmtId="0" fontId="8" fillId="0" borderId="0" xfId="102" applyNumberFormat="1" applyFont="1" applyFill="1" applyBorder="1" applyAlignment="1" applyProtection="1">
      <alignment horizontal="center"/>
    </xf>
    <xf numFmtId="0" fontId="5" fillId="0" borderId="0" xfId="102" applyNumberFormat="1" applyFont="1" applyFill="1" applyBorder="1" applyAlignment="1" applyProtection="1">
      <alignment horizontal="center"/>
    </xf>
    <xf numFmtId="0" fontId="7" fillId="0" borderId="0" xfId="102" applyNumberFormat="1" applyFont="1" applyFill="1" applyAlignment="1" applyProtection="1"/>
    <xf numFmtId="0" fontId="5" fillId="0" borderId="0" xfId="102" applyNumberFormat="1" applyFont="1" applyFill="1" applyBorder="1" applyAlignment="1" applyProtection="1"/>
    <xf numFmtId="0" fontId="6" fillId="0" borderId="4" xfId="102" applyNumberFormat="1" applyFont="1" applyFill="1" applyBorder="1" applyAlignment="1" applyProtection="1">
      <alignment horizontal="center" vertical="center" wrapText="1"/>
    </xf>
    <xf numFmtId="0" fontId="6" fillId="0" borderId="15" xfId="102" applyNumberFormat="1" applyFont="1" applyFill="1" applyBorder="1" applyAlignment="1" applyProtection="1">
      <alignment horizontal="center" vertical="center" wrapText="1"/>
    </xf>
    <xf numFmtId="0" fontId="6" fillId="0" borderId="17" xfId="102" applyNumberFormat="1" applyFont="1" applyFill="1" applyBorder="1" applyAlignment="1" applyProtection="1">
      <alignment horizontal="center" vertical="center" wrapText="1"/>
    </xf>
    <xf numFmtId="164" fontId="7" fillId="0" borderId="18" xfId="74" applyNumberFormat="1" applyFont="1" applyFill="1" applyBorder="1" applyAlignment="1" applyProtection="1">
      <alignment horizontal="right"/>
    </xf>
    <xf numFmtId="164" fontId="7" fillId="0" borderId="19" xfId="74" applyNumberFormat="1" applyFont="1" applyFill="1" applyBorder="1" applyAlignment="1" applyProtection="1">
      <alignment horizontal="center"/>
    </xf>
    <xf numFmtId="0" fontId="7" fillId="0" borderId="20" xfId="102" quotePrefix="1" applyNumberFormat="1" applyFont="1" applyFill="1" applyBorder="1" applyAlignment="1" applyProtection="1">
      <alignment horizontal="center"/>
    </xf>
    <xf numFmtId="164" fontId="7" fillId="0" borderId="21" xfId="74" applyNumberFormat="1" applyFont="1" applyFill="1" applyBorder="1" applyAlignment="1" applyProtection="1">
      <alignment horizontal="right"/>
    </xf>
    <xf numFmtId="164" fontId="7" fillId="0" borderId="22" xfId="74" applyNumberFormat="1" applyFont="1" applyFill="1" applyBorder="1" applyAlignment="1" applyProtection="1">
      <alignment horizontal="center"/>
    </xf>
    <xf numFmtId="164" fontId="7" fillId="0" borderId="23" xfId="74" applyNumberFormat="1" applyFont="1" applyFill="1" applyBorder="1" applyAlignment="1" applyProtection="1">
      <alignment horizontal="right"/>
    </xf>
    <xf numFmtId="164" fontId="7" fillId="0" borderId="24" xfId="74" applyNumberFormat="1" applyFont="1" applyFill="1" applyBorder="1" applyAlignment="1" applyProtection="1">
      <alignment horizontal="center"/>
    </xf>
    <xf numFmtId="0" fontId="7" fillId="0" borderId="25" xfId="102" quotePrefix="1" applyNumberFormat="1" applyFont="1" applyFill="1" applyBorder="1" applyAlignment="1" applyProtection="1">
      <alignment horizontal="center"/>
    </xf>
    <xf numFmtId="164" fontId="7" fillId="0" borderId="26" xfId="74" applyNumberFormat="1" applyFont="1" applyFill="1" applyBorder="1" applyAlignment="1" applyProtection="1">
      <alignment horizontal="right"/>
    </xf>
    <xf numFmtId="164" fontId="7" fillId="0" borderId="27" xfId="74" applyNumberFormat="1" applyFont="1" applyFill="1" applyBorder="1" applyAlignment="1" applyProtection="1">
      <alignment horizontal="center"/>
    </xf>
    <xf numFmtId="164" fontId="7" fillId="0" borderId="28" xfId="74" applyNumberFormat="1" applyFont="1" applyFill="1" applyBorder="1" applyAlignment="1" applyProtection="1">
      <alignment horizontal="right"/>
    </xf>
    <xf numFmtId="164" fontId="7" fillId="0" borderId="29" xfId="74" applyNumberFormat="1" applyFont="1" applyFill="1" applyBorder="1" applyAlignment="1" applyProtection="1">
      <alignment horizontal="center"/>
    </xf>
    <xf numFmtId="0" fontId="6" fillId="0" borderId="30" xfId="102" applyNumberFormat="1" applyFont="1" applyFill="1" applyBorder="1" applyAlignment="1" applyProtection="1"/>
    <xf numFmtId="0" fontId="6" fillId="0" borderId="31" xfId="99" applyNumberFormat="1" applyFont="1" applyFill="1" applyBorder="1" applyAlignment="1" applyProtection="1">
      <alignment horizontal="center"/>
    </xf>
    <xf numFmtId="164" fontId="6" fillId="0" borderId="32" xfId="74" applyNumberFormat="1" applyFont="1" applyFill="1" applyBorder="1" applyAlignment="1" applyProtection="1">
      <alignment horizontal="center"/>
    </xf>
    <xf numFmtId="0" fontId="6" fillId="0" borderId="0" xfId="102" applyNumberFormat="1" applyFont="1" applyFill="1" applyBorder="1" applyAlignment="1" applyProtection="1"/>
    <xf numFmtId="0" fontId="6" fillId="0" borderId="0" xfId="99" applyNumberFormat="1" applyFont="1" applyFill="1" applyBorder="1" applyAlignment="1" applyProtection="1">
      <alignment horizontal="center"/>
    </xf>
    <xf numFmtId="164" fontId="6" fillId="0" borderId="0" xfId="74" applyNumberFormat="1" applyFont="1" applyFill="1" applyBorder="1" applyAlignment="1" applyProtection="1">
      <alignment horizontal="center"/>
    </xf>
    <xf numFmtId="0" fontId="7" fillId="0" borderId="0" xfId="99" applyNumberFormat="1" applyFont="1" applyFill="1" applyAlignment="1" applyProtection="1">
      <alignment horizontal="center"/>
    </xf>
    <xf numFmtId="0" fontId="5" fillId="0" borderId="0" xfId="99" applyNumberFormat="1" applyFont="1" applyFill="1" applyAlignment="1" applyProtection="1"/>
    <xf numFmtId="0" fontId="6" fillId="0" borderId="13" xfId="102" applyNumberFormat="1" applyFont="1" applyFill="1" applyBorder="1" applyAlignment="1" applyProtection="1">
      <alignment horizontal="left"/>
    </xf>
    <xf numFmtId="0" fontId="6" fillId="25" borderId="13" xfId="102" applyNumberFormat="1" applyFont="1" applyFill="1" applyBorder="1" applyAlignment="1" applyProtection="1"/>
    <xf numFmtId="164" fontId="6" fillId="0" borderId="17" xfId="102" applyNumberFormat="1" applyFont="1" applyFill="1" applyBorder="1" applyAlignment="1" applyProtection="1"/>
    <xf numFmtId="0" fontId="7" fillId="25" borderId="18" xfId="102" applyNumberFormat="1" applyFont="1" applyFill="1" applyBorder="1" applyAlignment="1" applyProtection="1"/>
    <xf numFmtId="164" fontId="7" fillId="0" borderId="33" xfId="74" applyNumberFormat="1" applyFont="1" applyFill="1" applyBorder="1" applyAlignment="1" applyProtection="1"/>
    <xf numFmtId="0" fontId="7" fillId="0" borderId="34" xfId="102" quotePrefix="1" applyNumberFormat="1" applyFont="1" applyFill="1" applyBorder="1" applyAlignment="1" applyProtection="1">
      <alignment horizontal="center"/>
    </xf>
    <xf numFmtId="0" fontId="7" fillId="25" borderId="21" xfId="102" applyNumberFormat="1" applyFont="1" applyFill="1" applyBorder="1" applyAlignment="1" applyProtection="1"/>
    <xf numFmtId="164" fontId="7" fillId="0" borderId="35" xfId="74" applyNumberFormat="1" applyFont="1" applyFill="1" applyBorder="1" applyAlignment="1" applyProtection="1"/>
    <xf numFmtId="0" fontId="7" fillId="25" borderId="23" xfId="102" applyNumberFormat="1" applyFont="1" applyFill="1" applyBorder="1" applyAlignment="1" applyProtection="1"/>
    <xf numFmtId="164" fontId="7" fillId="0" borderId="36" xfId="74" applyNumberFormat="1" applyFont="1" applyFill="1" applyBorder="1" applyAlignment="1" applyProtection="1"/>
    <xf numFmtId="0" fontId="7" fillId="25" borderId="37" xfId="102" applyNumberFormat="1" applyFont="1" applyFill="1" applyBorder="1" applyAlignment="1" applyProtection="1"/>
    <xf numFmtId="164" fontId="7" fillId="0" borderId="38" xfId="74" applyNumberFormat="1" applyFont="1" applyFill="1" applyBorder="1" applyAlignment="1" applyProtection="1"/>
    <xf numFmtId="0" fontId="7" fillId="25" borderId="26" xfId="102" applyNumberFormat="1" applyFont="1" applyFill="1" applyBorder="1" applyAlignment="1" applyProtection="1"/>
    <xf numFmtId="164" fontId="7" fillId="0" borderId="39" xfId="74" applyNumberFormat="1" applyFont="1" applyFill="1" applyBorder="1" applyAlignment="1" applyProtection="1"/>
    <xf numFmtId="0" fontId="7" fillId="25" borderId="28" xfId="102" applyNumberFormat="1" applyFont="1" applyFill="1" applyBorder="1" applyAlignment="1" applyProtection="1"/>
    <xf numFmtId="164" fontId="7" fillId="0" borderId="40" xfId="74" applyNumberFormat="1" applyFont="1" applyFill="1" applyBorder="1" applyAlignment="1" applyProtection="1"/>
    <xf numFmtId="0" fontId="6" fillId="25" borderId="26" xfId="102" applyNumberFormat="1" applyFont="1" applyFill="1" applyBorder="1" applyAlignment="1" applyProtection="1"/>
    <xf numFmtId="164" fontId="6" fillId="0" borderId="39" xfId="74" applyNumberFormat="1" applyFont="1" applyFill="1" applyBorder="1" applyAlignment="1" applyProtection="1"/>
    <xf numFmtId="0" fontId="6" fillId="25" borderId="41" xfId="102" applyNumberFormat="1" applyFont="1" applyFill="1" applyBorder="1" applyAlignment="1" applyProtection="1"/>
    <xf numFmtId="164" fontId="6" fillId="0" borderId="42" xfId="74" applyNumberFormat="1" applyFont="1" applyFill="1" applyBorder="1" applyAlignment="1" applyProtection="1"/>
    <xf numFmtId="0" fontId="6" fillId="0" borderId="15" xfId="102" applyNumberFormat="1" applyFont="1" applyFill="1" applyBorder="1" applyAlignment="1" applyProtection="1"/>
    <xf numFmtId="164" fontId="6" fillId="0" borderId="17" xfId="74" applyNumberFormat="1" applyFont="1" applyFill="1" applyBorder="1" applyAlignment="1" applyProtection="1"/>
    <xf numFmtId="0" fontId="6" fillId="0" borderId="12" xfId="102" applyNumberFormat="1" applyFont="1" applyFill="1" applyBorder="1" applyAlignment="1" applyProtection="1">
      <alignment horizontal="center" vertical="center" wrapText="1"/>
    </xf>
    <xf numFmtId="0" fontId="6" fillId="0" borderId="13" xfId="102" applyNumberFormat="1" applyFont="1" applyFill="1" applyBorder="1" applyAlignment="1" applyProtection="1">
      <alignment horizontal="center" vertical="center" wrapText="1"/>
    </xf>
    <xf numFmtId="0" fontId="6" fillId="25" borderId="13" xfId="102" applyNumberFormat="1" applyFont="1" applyFill="1" applyBorder="1" applyAlignment="1" applyProtection="1">
      <alignment horizontal="center" vertical="center" wrapText="1"/>
    </xf>
    <xf numFmtId="0" fontId="6" fillId="0" borderId="14" xfId="102" applyNumberFormat="1" applyFont="1" applyFill="1" applyBorder="1" applyAlignment="1" applyProtection="1">
      <alignment horizontal="center" vertical="center" wrapText="1"/>
    </xf>
    <xf numFmtId="164" fontId="7" fillId="0" borderId="19" xfId="74" applyNumberFormat="1" applyFont="1" applyFill="1" applyBorder="1" applyAlignment="1" applyProtection="1"/>
    <xf numFmtId="164" fontId="7" fillId="0" borderId="22" xfId="74" applyNumberFormat="1" applyFont="1" applyFill="1" applyBorder="1" applyAlignment="1" applyProtection="1"/>
    <xf numFmtId="164" fontId="7" fillId="0" borderId="24" xfId="74" applyNumberFormat="1" applyFont="1" applyFill="1" applyBorder="1" applyAlignment="1" applyProtection="1"/>
    <xf numFmtId="0" fontId="6" fillId="0" borderId="12" xfId="102" applyNumberFormat="1" applyFont="1" applyFill="1" applyBorder="1" applyAlignment="1" applyProtection="1"/>
    <xf numFmtId="164" fontId="6" fillId="0" borderId="14" xfId="74" applyNumberFormat="1" applyFont="1" applyFill="1" applyBorder="1" applyAlignment="1" applyProtection="1"/>
    <xf numFmtId="166" fontId="7" fillId="0" borderId="26" xfId="102" applyNumberFormat="1" applyFont="1" applyFill="1" applyBorder="1" applyAlignment="1" applyProtection="1">
      <alignment horizontal="right"/>
    </xf>
    <xf numFmtId="166" fontId="7" fillId="0" borderId="39" xfId="102" applyNumberFormat="1" applyFont="1" applyFill="1" applyBorder="1" applyAlignment="1" applyProtection="1">
      <alignment horizontal="right"/>
    </xf>
    <xf numFmtId="164" fontId="7" fillId="0" borderId="39" xfId="74" applyNumberFormat="1" applyFont="1" applyFill="1" applyBorder="1" applyAlignment="1" applyProtection="1">
      <alignment horizontal="right"/>
    </xf>
    <xf numFmtId="166" fontId="7" fillId="0" borderId="21" xfId="102" applyNumberFormat="1" applyFont="1" applyFill="1" applyBorder="1" applyAlignment="1" applyProtection="1">
      <alignment horizontal="right"/>
    </xf>
    <xf numFmtId="166" fontId="7" fillId="0" borderId="35" xfId="102" applyNumberFormat="1" applyFont="1" applyFill="1" applyBorder="1" applyAlignment="1" applyProtection="1">
      <alignment horizontal="right"/>
    </xf>
    <xf numFmtId="164" fontId="7" fillId="0" borderId="35" xfId="74" applyNumberFormat="1" applyFont="1" applyFill="1" applyBorder="1" applyAlignment="1" applyProtection="1">
      <alignment horizontal="right"/>
    </xf>
    <xf numFmtId="166" fontId="7" fillId="0" borderId="23" xfId="102" applyNumberFormat="1" applyFont="1" applyFill="1" applyBorder="1" applyAlignment="1" applyProtection="1">
      <alignment horizontal="right"/>
    </xf>
    <xf numFmtId="166" fontId="7" fillId="0" borderId="36" xfId="102" applyNumberFormat="1" applyFont="1" applyFill="1" applyBorder="1" applyAlignment="1" applyProtection="1">
      <alignment horizontal="right"/>
    </xf>
    <xf numFmtId="164" fontId="7" fillId="0" borderId="36" xfId="74" applyNumberFormat="1" applyFont="1" applyFill="1" applyBorder="1" applyAlignment="1" applyProtection="1">
      <alignment horizontal="right"/>
    </xf>
    <xf numFmtId="0" fontId="7" fillId="0" borderId="43" xfId="102" quotePrefix="1" applyNumberFormat="1" applyFont="1" applyFill="1" applyBorder="1" applyAlignment="1" applyProtection="1">
      <alignment horizontal="center"/>
    </xf>
    <xf numFmtId="166" fontId="7" fillId="0" borderId="28" xfId="102" applyNumberFormat="1" applyFont="1" applyFill="1" applyBorder="1" applyAlignment="1" applyProtection="1">
      <alignment horizontal="right"/>
    </xf>
    <xf numFmtId="166" fontId="7" fillId="0" borderId="40" xfId="102" applyNumberFormat="1" applyFont="1" applyFill="1" applyBorder="1" applyAlignment="1" applyProtection="1">
      <alignment horizontal="right"/>
    </xf>
    <xf numFmtId="164" fontId="7" fillId="0" borderId="40" xfId="74" applyNumberFormat="1" applyFont="1" applyFill="1" applyBorder="1" applyAlignment="1" applyProtection="1">
      <alignment horizontal="right"/>
    </xf>
    <xf numFmtId="166" fontId="7" fillId="0" borderId="18" xfId="102" applyNumberFormat="1" applyFont="1" applyFill="1" applyBorder="1" applyAlignment="1" applyProtection="1">
      <alignment horizontal="right"/>
    </xf>
    <xf numFmtId="166" fontId="7" fillId="0" borderId="33" xfId="102" applyNumberFormat="1" applyFont="1" applyFill="1" applyBorder="1" applyAlignment="1" applyProtection="1">
      <alignment horizontal="right"/>
    </xf>
    <xf numFmtId="164" fontId="7" fillId="0" borderId="33" xfId="74" applyNumberFormat="1" applyFont="1" applyFill="1" applyBorder="1" applyAlignment="1" applyProtection="1">
      <alignment horizontal="right"/>
    </xf>
    <xf numFmtId="0" fontId="6" fillId="0" borderId="44" xfId="102" applyNumberFormat="1" applyFont="1" applyFill="1" applyBorder="1" applyAlignment="1" applyProtection="1"/>
    <xf numFmtId="166" fontId="6" fillId="0" borderId="31" xfId="102" applyNumberFormat="1" applyFont="1" applyFill="1" applyBorder="1" applyAlignment="1" applyProtection="1"/>
    <xf numFmtId="166" fontId="6" fillId="0" borderId="45" xfId="102" applyNumberFormat="1" applyFont="1" applyFill="1" applyBorder="1" applyAlignment="1" applyProtection="1"/>
    <xf numFmtId="164" fontId="6" fillId="0" borderId="45" xfId="74" applyNumberFormat="1" applyFont="1" applyFill="1" applyBorder="1" applyAlignment="1" applyProtection="1">
      <alignment horizontal="right"/>
    </xf>
    <xf numFmtId="164" fontId="7" fillId="0" borderId="26" xfId="74" applyNumberFormat="1" applyFont="1" applyFill="1" applyBorder="1" applyAlignment="1" applyProtection="1"/>
    <xf numFmtId="164" fontId="7" fillId="0" borderId="27" xfId="74" applyNumberFormat="1" applyFont="1" applyFill="1" applyBorder="1" applyAlignment="1" applyProtection="1"/>
    <xf numFmtId="164" fontId="7" fillId="0" borderId="23" xfId="74" applyNumberFormat="1" applyFont="1" applyFill="1" applyBorder="1" applyAlignment="1" applyProtection="1"/>
    <xf numFmtId="0" fontId="6" fillId="0" borderId="4" xfId="102" applyNumberFormat="1" applyFont="1" applyFill="1" applyBorder="1" applyAlignment="1" applyProtection="1">
      <alignment horizontal="center"/>
    </xf>
    <xf numFmtId="0" fontId="6" fillId="0" borderId="4" xfId="102" applyNumberFormat="1" applyFont="1" applyFill="1" applyBorder="1" applyAlignment="1" applyProtection="1">
      <alignment horizontal="left"/>
    </xf>
    <xf numFmtId="164" fontId="6" fillId="0" borderId="4" xfId="74" applyNumberFormat="1" applyFont="1" applyFill="1" applyBorder="1" applyAlignment="1" applyProtection="1">
      <alignment horizontal="center"/>
    </xf>
    <xf numFmtId="164" fontId="7" fillId="0" borderId="27" xfId="74" applyNumberFormat="1" applyFont="1" applyFill="1" applyBorder="1" applyAlignment="1" applyProtection="1">
      <alignment horizontal="right"/>
    </xf>
    <xf numFmtId="164" fontId="7" fillId="0" borderId="22" xfId="74" applyNumberFormat="1" applyFont="1" applyFill="1" applyBorder="1" applyAlignment="1" applyProtection="1">
      <alignment horizontal="right"/>
    </xf>
    <xf numFmtId="164" fontId="6" fillId="25" borderId="28" xfId="74" applyNumberFormat="1" applyFont="1" applyFill="1" applyBorder="1" applyAlignment="1" applyProtection="1">
      <alignment horizontal="right"/>
    </xf>
    <xf numFmtId="164" fontId="6" fillId="0" borderId="29" xfId="74" applyNumberFormat="1" applyFont="1" applyFill="1" applyBorder="1" applyAlignment="1" applyProtection="1">
      <alignment horizontal="right"/>
    </xf>
    <xf numFmtId="164" fontId="7" fillId="25" borderId="31" xfId="74" applyNumberFormat="1" applyFont="1" applyFill="1" applyBorder="1" applyAlignment="1" applyProtection="1">
      <alignment horizontal="right"/>
    </xf>
    <xf numFmtId="164" fontId="6" fillId="0" borderId="32" xfId="74" applyNumberFormat="1" applyFont="1" applyFill="1" applyBorder="1" applyAlignment="1" applyProtection="1">
      <alignment horizontal="right"/>
    </xf>
    <xf numFmtId="164" fontId="7" fillId="0" borderId="29" xfId="74" applyNumberFormat="1" applyFont="1" applyFill="1" applyBorder="1" applyAlignment="1" applyProtection="1">
      <alignment horizontal="right"/>
    </xf>
    <xf numFmtId="0" fontId="6" fillId="0" borderId="44" xfId="102" quotePrefix="1" applyNumberFormat="1" applyFont="1" applyFill="1" applyBorder="1" applyAlignment="1" applyProtection="1">
      <alignment horizontal="left"/>
    </xf>
    <xf numFmtId="0" fontId="6" fillId="0" borderId="44" xfId="102" applyNumberFormat="1" applyFont="1" applyFill="1" applyBorder="1" applyAlignment="1" applyProtection="1">
      <alignment horizontal="right"/>
    </xf>
    <xf numFmtId="164" fontId="7" fillId="25" borderId="44" xfId="74" applyNumberFormat="1" applyFont="1" applyFill="1" applyBorder="1" applyAlignment="1" applyProtection="1">
      <alignment horizontal="right"/>
    </xf>
    <xf numFmtId="164" fontId="6" fillId="0" borderId="16" xfId="74" applyNumberFormat="1" applyFont="1" applyFill="1" applyBorder="1" applyAlignment="1" applyProtection="1">
      <alignment horizontal="right"/>
    </xf>
    <xf numFmtId="164" fontId="7" fillId="0" borderId="31" xfId="74" applyNumberFormat="1" applyFont="1" applyFill="1" applyBorder="1" applyAlignment="1" applyProtection="1">
      <alignment horizontal="right"/>
    </xf>
    <xf numFmtId="164" fontId="7" fillId="0" borderId="32" xfId="74" applyNumberFormat="1" applyFont="1" applyFill="1" applyBorder="1" applyAlignment="1" applyProtection="1">
      <alignment horizontal="right"/>
    </xf>
    <xf numFmtId="164" fontId="7" fillId="25" borderId="21" xfId="74" applyNumberFormat="1" applyFont="1" applyFill="1" applyBorder="1" applyAlignment="1" applyProtection="1">
      <alignment horizontal="right"/>
    </xf>
    <xf numFmtId="164" fontId="7" fillId="26" borderId="39" xfId="74" applyNumberFormat="1" applyFont="1" applyFill="1" applyBorder="1" applyAlignment="1" applyProtection="1">
      <protection locked="0"/>
    </xf>
    <xf numFmtId="0" fontId="7" fillId="0" borderId="0" xfId="102" applyNumberFormat="1" applyFont="1" applyFill="1" applyAlignment="1" applyProtection="1">
      <alignment horizontal="right"/>
    </xf>
    <xf numFmtId="164" fontId="7" fillId="26" borderId="40" xfId="74" applyNumberFormat="1" applyFont="1" applyFill="1" applyBorder="1" applyAlignment="1" applyProtection="1">
      <protection locked="0"/>
    </xf>
    <xf numFmtId="0" fontId="5" fillId="0" borderId="0" xfId="102" applyNumberFormat="1" applyFont="1" applyFill="1" applyAlignment="1" applyProtection="1">
      <alignment horizontal="right"/>
    </xf>
    <xf numFmtId="0" fontId="7" fillId="0" borderId="0" xfId="102" applyNumberFormat="1" applyFont="1" applyFill="1" applyBorder="1" applyAlignment="1" applyProtection="1"/>
    <xf numFmtId="0" fontId="7" fillId="0" borderId="0" xfId="102" applyNumberFormat="1" applyFont="1" applyFill="1" applyBorder="1" applyAlignment="1" applyProtection="1">
      <alignment horizontal="left"/>
    </xf>
    <xf numFmtId="0" fontId="7" fillId="0" borderId="0" xfId="102" quotePrefix="1" applyNumberFormat="1" applyFont="1" applyFill="1" applyBorder="1" applyAlignment="1" applyProtection="1">
      <alignment horizontal="left"/>
    </xf>
    <xf numFmtId="0" fontId="7" fillId="0" borderId="13" xfId="102" applyNumberFormat="1" applyFont="1" applyFill="1" applyBorder="1" applyAlignment="1" applyProtection="1">
      <alignment horizontal="right"/>
    </xf>
    <xf numFmtId="164" fontId="7" fillId="25" borderId="13" xfId="74" applyNumberFormat="1" applyFont="1" applyFill="1" applyBorder="1" applyAlignment="1" applyProtection="1">
      <alignment horizontal="right"/>
    </xf>
    <xf numFmtId="164" fontId="7" fillId="0" borderId="14" xfId="74" applyNumberFormat="1" applyFont="1" applyFill="1" applyBorder="1" applyAlignment="1" applyProtection="1">
      <alignment horizontal="right"/>
    </xf>
    <xf numFmtId="164" fontId="7" fillId="0" borderId="24" xfId="74" applyNumberFormat="1" applyFont="1" applyFill="1" applyBorder="1" applyAlignment="1" applyProtection="1">
      <alignment horizontal="right"/>
    </xf>
    <xf numFmtId="164" fontId="7" fillId="0" borderId="19" xfId="74" applyNumberFormat="1" applyFont="1" applyFill="1" applyBorder="1" applyAlignment="1" applyProtection="1">
      <alignment horizontal="right"/>
    </xf>
    <xf numFmtId="0" fontId="7" fillId="0" borderId="0" xfId="98" applyNumberFormat="1" applyFont="1" applyFill="1" applyAlignment="1" applyProtection="1"/>
    <xf numFmtId="164" fontId="7" fillId="0" borderId="13" xfId="74" applyNumberFormat="1" applyFont="1" applyFill="1" applyBorder="1" applyAlignment="1" applyProtection="1">
      <alignment horizontal="right"/>
    </xf>
    <xf numFmtId="0" fontId="7" fillId="0" borderId="0" xfId="102" applyNumberFormat="1" applyFont="1" applyFill="1" applyBorder="1" applyAlignment="1" applyProtection="1">
      <alignment horizontal="right"/>
    </xf>
    <xf numFmtId="0" fontId="5" fillId="0" borderId="0" xfId="102" applyNumberFormat="1" applyFont="1" applyFill="1" applyBorder="1" applyAlignment="1" applyProtection="1">
      <alignment horizontal="right"/>
    </xf>
    <xf numFmtId="0" fontId="5" fillId="0" borderId="0" xfId="98" applyNumberFormat="1" applyFont="1" applyFill="1" applyAlignment="1" applyProtection="1"/>
    <xf numFmtId="0" fontId="7" fillId="0" borderId="0" xfId="102" applyNumberFormat="1" applyFont="1" applyFill="1" applyBorder="1" applyAlignment="1" applyProtection="1">
      <alignment horizontal="center"/>
    </xf>
    <xf numFmtId="0" fontId="7" fillId="0" borderId="46" xfId="102" applyNumberFormat="1" applyFont="1" applyFill="1" applyBorder="1" applyAlignment="1" applyProtection="1">
      <alignment horizontal="center"/>
    </xf>
    <xf numFmtId="164" fontId="6" fillId="0" borderId="14" xfId="74" applyNumberFormat="1" applyFont="1" applyFill="1" applyBorder="1" applyAlignment="1" applyProtection="1">
      <alignment horizontal="right"/>
    </xf>
    <xf numFmtId="164" fontId="7" fillId="0" borderId="17" xfId="74" applyNumberFormat="1" applyFont="1" applyFill="1" applyBorder="1" applyAlignment="1" applyProtection="1">
      <alignment horizontal="right"/>
    </xf>
    <xf numFmtId="0" fontId="7" fillId="0" borderId="25" xfId="102" quotePrefix="1" applyNumberFormat="1" applyFont="1" applyFill="1" applyBorder="1" applyAlignment="1" applyProtection="1">
      <alignment horizontal="left"/>
    </xf>
    <xf numFmtId="0" fontId="7" fillId="0" borderId="20" xfId="102" applyNumberFormat="1" applyFont="1" applyFill="1" applyBorder="1" applyAlignment="1" applyProtection="1"/>
    <xf numFmtId="0" fontId="7" fillId="0" borderId="20" xfId="102" applyNumberFormat="1" applyFont="1" applyFill="1" applyBorder="1" applyAlignment="1" applyProtection="1">
      <alignment horizontal="left"/>
    </xf>
    <xf numFmtId="0" fontId="6" fillId="0" borderId="47" xfId="102" quotePrefix="1" applyNumberFormat="1" applyFont="1" applyFill="1" applyBorder="1" applyAlignment="1" applyProtection="1">
      <alignment horizontal="left"/>
    </xf>
    <xf numFmtId="0" fontId="7" fillId="0" borderId="25" xfId="102" applyNumberFormat="1" applyFont="1" applyFill="1" applyBorder="1" applyAlignment="1" applyProtection="1"/>
    <xf numFmtId="0" fontId="7" fillId="0" borderId="20" xfId="102" quotePrefix="1" applyNumberFormat="1" applyFont="1" applyFill="1" applyBorder="1" applyAlignment="1" applyProtection="1">
      <alignment horizontal="left"/>
    </xf>
    <xf numFmtId="0" fontId="7" fillId="0" borderId="47" xfId="102" applyNumberFormat="1" applyFont="1" applyFill="1" applyBorder="1" applyAlignment="1" applyProtection="1">
      <alignment horizontal="left"/>
    </xf>
    <xf numFmtId="0" fontId="6" fillId="0" borderId="0" xfId="102" applyNumberFormat="1" applyFont="1" applyFill="1" applyBorder="1" applyAlignment="1" applyProtection="1">
      <alignment horizontal="center" vertical="center" wrapText="1"/>
    </xf>
    <xf numFmtId="0" fontId="7" fillId="0" borderId="0" xfId="102" applyNumberFormat="1" applyFont="1" applyFill="1" applyBorder="1" applyAlignment="1" applyProtection="1">
      <alignment horizontal="center" vertical="center" wrapText="1"/>
    </xf>
    <xf numFmtId="0" fontId="6" fillId="0" borderId="0" xfId="102" applyNumberFormat="1" applyFont="1" applyFill="1" applyBorder="1" applyAlignment="1" applyProtection="1">
      <alignment horizontal="centerContinuous"/>
    </xf>
    <xf numFmtId="0" fontId="7" fillId="25" borderId="31" xfId="102" applyNumberFormat="1" applyFont="1" applyFill="1" applyBorder="1" applyAlignment="1" applyProtection="1"/>
    <xf numFmtId="164" fontId="7" fillId="0" borderId="45" xfId="74" applyNumberFormat="1" applyFont="1" applyFill="1" applyBorder="1" applyAlignment="1" applyProtection="1"/>
    <xf numFmtId="0" fontId="6" fillId="0" borderId="69" xfId="102" applyNumberFormat="1" applyFont="1" applyFill="1" applyBorder="1" applyAlignment="1" applyProtection="1">
      <alignment horizontal="center" vertical="center" wrapText="1"/>
    </xf>
    <xf numFmtId="0" fontId="6" fillId="0" borderId="4" xfId="102" quotePrefix="1" applyNumberFormat="1" applyFont="1" applyFill="1" applyBorder="1" applyAlignment="1" applyProtection="1">
      <alignment horizontal="center"/>
    </xf>
    <xf numFmtId="0" fontId="6" fillId="0" borderId="51" xfId="102" quotePrefix="1" applyNumberFormat="1" applyFont="1" applyFill="1" applyBorder="1" applyAlignment="1" applyProtection="1">
      <alignment horizontal="left"/>
    </xf>
    <xf numFmtId="0" fontId="6" fillId="0" borderId="51" xfId="102" applyNumberFormat="1" applyFont="1" applyFill="1" applyBorder="1" applyAlignment="1" applyProtection="1">
      <alignment horizontal="center" vertical="center" wrapText="1"/>
    </xf>
    <xf numFmtId="0" fontId="7" fillId="0" borderId="47" xfId="102" applyNumberFormat="1" applyFont="1" applyFill="1" applyBorder="1" applyAlignment="1" applyProtection="1"/>
    <xf numFmtId="0" fontId="6" fillId="0" borderId="62" xfId="102" quotePrefix="1" applyNumberFormat="1" applyFont="1" applyFill="1" applyBorder="1" applyAlignment="1" applyProtection="1">
      <alignment horizontal="left"/>
    </xf>
    <xf numFmtId="0" fontId="7" fillId="0" borderId="71" xfId="102" applyNumberFormat="1" applyFont="1" applyFill="1" applyBorder="1" applyAlignment="1" applyProtection="1"/>
    <xf numFmtId="0" fontId="7" fillId="0" borderId="64" xfId="102" applyNumberFormat="1" applyFont="1" applyFill="1" applyBorder="1" applyAlignment="1" applyProtection="1"/>
    <xf numFmtId="0" fontId="6" fillId="0" borderId="65" xfId="102" applyNumberFormat="1" applyFont="1" applyFill="1" applyBorder="1" applyAlignment="1" applyProtection="1"/>
    <xf numFmtId="0" fontId="7" fillId="0" borderId="71" xfId="102" applyNumberFormat="1" applyFont="1" applyFill="1" applyBorder="1" applyAlignment="1" applyProtection="1">
      <alignment horizontal="left"/>
    </xf>
    <xf numFmtId="0" fontId="7" fillId="0" borderId="64" xfId="102" applyNumberFormat="1" applyFont="1" applyFill="1" applyBorder="1" applyAlignment="1" applyProtection="1">
      <alignment horizontal="left"/>
    </xf>
    <xf numFmtId="0" fontId="7" fillId="0" borderId="65" xfId="102" applyNumberFormat="1" applyFont="1" applyFill="1" applyBorder="1" applyAlignment="1" applyProtection="1">
      <alignment horizontal="left"/>
    </xf>
    <xf numFmtId="164" fontId="7" fillId="22" borderId="57" xfId="74" applyNumberFormat="1" applyFont="1" applyFill="1" applyBorder="1" applyAlignment="1" applyProtection="1">
      <alignment horizontal="right"/>
      <protection locked="0"/>
    </xf>
    <xf numFmtId="164" fontId="7" fillId="22" borderId="52" xfId="74" applyNumberFormat="1" applyFont="1" applyFill="1" applyBorder="1" applyAlignment="1" applyProtection="1">
      <alignment horizontal="right"/>
      <protection locked="0"/>
    </xf>
    <xf numFmtId="164" fontId="6" fillId="0" borderId="54" xfId="74" applyNumberFormat="1" applyFont="1" applyFill="1" applyBorder="1" applyAlignment="1" applyProtection="1">
      <alignment horizontal="right"/>
    </xf>
    <xf numFmtId="164" fontId="7" fillId="22" borderId="54" xfId="74" applyNumberFormat="1" applyFont="1" applyFill="1" applyBorder="1" applyAlignment="1" applyProtection="1">
      <alignment horizontal="right"/>
      <protection locked="0"/>
    </xf>
    <xf numFmtId="0" fontId="6" fillId="0" borderId="15" xfId="102" applyNumberFormat="1" applyFont="1" applyFill="1" applyBorder="1" applyAlignment="1" applyProtection="1">
      <alignment horizontal="centerContinuous"/>
    </xf>
    <xf numFmtId="0" fontId="6" fillId="0" borderId="12" xfId="102" quotePrefix="1" applyNumberFormat="1" applyFont="1" applyFill="1" applyBorder="1" applyAlignment="1" applyProtection="1">
      <alignment horizontal="center" vertical="center" wrapText="1"/>
    </xf>
    <xf numFmtId="0" fontId="7" fillId="0" borderId="65" xfId="102" applyNumberFormat="1" applyFont="1" applyFill="1" applyBorder="1" applyAlignment="1" applyProtection="1"/>
    <xf numFmtId="0" fontId="7" fillId="0" borderId="61" xfId="102" applyNumberFormat="1" applyFont="1" applyFill="1" applyBorder="1" applyAlignment="1" applyProtection="1"/>
    <xf numFmtId="0" fontId="6" fillId="0" borderId="62" xfId="102" applyNumberFormat="1" applyFont="1" applyFill="1" applyBorder="1" applyAlignment="1" applyProtection="1"/>
    <xf numFmtId="0" fontId="7" fillId="0" borderId="49" xfId="102" applyNumberFormat="1" applyFont="1" applyFill="1" applyBorder="1" applyAlignment="1" applyProtection="1"/>
    <xf numFmtId="0" fontId="7" fillId="0" borderId="12" xfId="102" applyNumberFormat="1" applyFont="1" applyFill="1" applyBorder="1" applyAlignment="1" applyProtection="1"/>
    <xf numFmtId="0" fontId="7" fillId="0" borderId="25" xfId="102" applyNumberFormat="1" applyFont="1" applyFill="1" applyBorder="1" applyAlignment="1" applyProtection="1">
      <alignment horizontal="right"/>
    </xf>
    <xf numFmtId="0" fontId="7" fillId="0" borderId="47" xfId="102" applyNumberFormat="1" applyFont="1" applyFill="1" applyBorder="1" applyAlignment="1" applyProtection="1">
      <alignment horizontal="right"/>
    </xf>
    <xf numFmtId="164" fontId="6" fillId="0" borderId="4" xfId="74" applyNumberFormat="1" applyFont="1" applyFill="1" applyBorder="1" applyAlignment="1" applyProtection="1"/>
    <xf numFmtId="0" fontId="7" fillId="0" borderId="30" xfId="102" applyNumberFormat="1" applyFont="1" applyFill="1" applyBorder="1" applyAlignment="1" applyProtection="1"/>
    <xf numFmtId="0" fontId="7" fillId="0" borderId="20" xfId="102" applyNumberFormat="1" applyFont="1" applyFill="1" applyBorder="1" applyAlignment="1" applyProtection="1">
      <alignment horizontal="right"/>
    </xf>
    <xf numFmtId="0" fontId="6" fillId="0" borderId="47" xfId="102" applyNumberFormat="1" applyFont="1" applyFill="1" applyBorder="1" applyAlignment="1" applyProtection="1"/>
    <xf numFmtId="166" fontId="7" fillId="0" borderId="25" xfId="102" applyNumberFormat="1" applyFont="1" applyFill="1" applyBorder="1" applyAlignment="1" applyProtection="1">
      <alignment horizontal="right"/>
    </xf>
    <xf numFmtId="166" fontId="7" fillId="0" borderId="20" xfId="102" applyNumberFormat="1" applyFont="1" applyFill="1" applyBorder="1" applyAlignment="1" applyProtection="1">
      <alignment horizontal="right"/>
    </xf>
    <xf numFmtId="166" fontId="7" fillId="0" borderId="61" xfId="102" applyNumberFormat="1" applyFont="1" applyFill="1" applyBorder="1" applyAlignment="1" applyProtection="1">
      <alignment horizontal="right"/>
    </xf>
    <xf numFmtId="166" fontId="7" fillId="0" borderId="47" xfId="102" applyNumberFormat="1" applyFont="1" applyFill="1" applyBorder="1" applyAlignment="1" applyProtection="1">
      <alignment horizontal="right"/>
    </xf>
    <xf numFmtId="166" fontId="7" fillId="0" borderId="63" xfId="102" applyNumberFormat="1" applyFont="1" applyFill="1" applyBorder="1" applyAlignment="1" applyProtection="1">
      <alignment horizontal="right"/>
    </xf>
    <xf numFmtId="166" fontId="6" fillId="0" borderId="30" xfId="102" applyNumberFormat="1" applyFont="1" applyFill="1" applyBorder="1" applyAlignment="1" applyProtection="1">
      <alignment horizontal="right"/>
    </xf>
    <xf numFmtId="0" fontId="7" fillId="0" borderId="63" xfId="102" applyNumberFormat="1" applyFont="1" applyFill="1" applyBorder="1" applyAlignment="1" applyProtection="1"/>
    <xf numFmtId="0" fontId="6" fillId="0" borderId="25" xfId="102" applyNumberFormat="1" applyFont="1" applyFill="1" applyBorder="1" applyAlignment="1" applyProtection="1"/>
    <xf numFmtId="0" fontId="6" fillId="0" borderId="56" xfId="102" applyNumberFormat="1" applyFont="1" applyFill="1" applyBorder="1" applyAlignment="1" applyProtection="1"/>
    <xf numFmtId="0" fontId="7" fillId="0" borderId="58" xfId="102" applyNumberFormat="1" applyFont="1" applyFill="1" applyBorder="1" applyAlignment="1" applyProtection="1">
      <alignment horizontal="left"/>
    </xf>
    <xf numFmtId="0" fontId="7" fillId="0" borderId="53" xfId="102" applyNumberFormat="1" applyFont="1" applyFill="1" applyBorder="1" applyAlignment="1" applyProtection="1">
      <alignment horizontal="left"/>
    </xf>
    <xf numFmtId="0" fontId="7" fillId="0" borderId="53" xfId="102" quotePrefix="1" applyNumberFormat="1" applyFont="1" applyFill="1" applyBorder="1" applyAlignment="1" applyProtection="1">
      <alignment horizontal="left"/>
    </xf>
    <xf numFmtId="0" fontId="7" fillId="0" borderId="55" xfId="102" quotePrefix="1" applyNumberFormat="1" applyFont="1" applyFill="1" applyBorder="1" applyAlignment="1" applyProtection="1">
      <alignment horizontal="left"/>
    </xf>
    <xf numFmtId="0" fontId="6" fillId="0" borderId="69" xfId="102" quotePrefix="1" applyNumberFormat="1" applyFont="1" applyFill="1" applyBorder="1" applyAlignment="1" applyProtection="1">
      <alignment horizontal="left"/>
    </xf>
    <xf numFmtId="0" fontId="7" fillId="0" borderId="57" xfId="102" quotePrefix="1" applyNumberFormat="1" applyFont="1" applyFill="1" applyBorder="1" applyAlignment="1" applyProtection="1">
      <alignment horizontal="center"/>
    </xf>
    <xf numFmtId="0" fontId="7" fillId="0" borderId="52" xfId="102" quotePrefix="1" applyNumberFormat="1" applyFont="1" applyFill="1" applyBorder="1" applyAlignment="1" applyProtection="1">
      <alignment horizontal="center"/>
    </xf>
    <xf numFmtId="0" fontId="7" fillId="0" borderId="54" xfId="102" quotePrefix="1" applyNumberFormat="1" applyFont="1" applyFill="1" applyBorder="1" applyAlignment="1" applyProtection="1">
      <alignment horizontal="center"/>
    </xf>
    <xf numFmtId="0" fontId="6" fillId="0" borderId="4" xfId="102" applyNumberFormat="1" applyFont="1" applyFill="1" applyBorder="1" applyAlignment="1" applyProtection="1"/>
    <xf numFmtId="0" fontId="7" fillId="0" borderId="58" xfId="50" applyNumberFormat="1" applyFont="1" applyFill="1" applyBorder="1" applyAlignment="1" applyProtection="1"/>
    <xf numFmtId="0" fontId="7" fillId="0" borderId="53" xfId="50" applyNumberFormat="1" applyFont="1" applyFill="1" applyBorder="1" applyAlignment="1" applyProtection="1"/>
    <xf numFmtId="0" fontId="7" fillId="0" borderId="55" xfId="50" applyNumberFormat="1" applyFont="1" applyFill="1" applyBorder="1" applyAlignment="1" applyProtection="1"/>
    <xf numFmtId="0" fontId="6" fillId="0" borderId="70" xfId="102" quotePrefix="1" applyNumberFormat="1" applyFont="1" applyFill="1" applyBorder="1" applyAlignment="1" applyProtection="1">
      <alignment horizontal="left"/>
    </xf>
    <xf numFmtId="0" fontId="6" fillId="0" borderId="16" xfId="102" applyNumberFormat="1" applyFont="1" applyFill="1" applyBorder="1" applyAlignment="1" applyProtection="1"/>
    <xf numFmtId="0" fontId="7" fillId="0" borderId="59" xfId="102" quotePrefix="1" applyNumberFormat="1" applyFont="1" applyFill="1" applyBorder="1" applyAlignment="1" applyProtection="1">
      <alignment horizontal="left"/>
    </xf>
    <xf numFmtId="0" fontId="7" fillId="0" borderId="55" xfId="102" applyNumberFormat="1" applyFont="1" applyFill="1" applyBorder="1" applyAlignment="1" applyProtection="1">
      <alignment horizontal="left"/>
    </xf>
    <xf numFmtId="0" fontId="7" fillId="0" borderId="69" xfId="102" applyNumberFormat="1" applyFont="1" applyFill="1" applyBorder="1" applyAlignment="1" applyProtection="1"/>
    <xf numFmtId="0" fontId="6" fillId="0" borderId="70" xfId="102" applyNumberFormat="1" applyFont="1" applyFill="1" applyBorder="1" applyAlignment="1" applyProtection="1"/>
    <xf numFmtId="0" fontId="7" fillId="0" borderId="4" xfId="102" quotePrefix="1" applyNumberFormat="1" applyFont="1" applyFill="1" applyBorder="1" applyAlignment="1" applyProtection="1">
      <alignment horizontal="center"/>
    </xf>
    <xf numFmtId="0" fontId="7" fillId="0" borderId="58" xfId="102" applyNumberFormat="1" applyFont="1" applyFill="1" applyBorder="1" applyAlignment="1" applyProtection="1"/>
    <xf numFmtId="0" fontId="7" fillId="0" borderId="53" xfId="102" applyNumberFormat="1" applyFont="1" applyFill="1" applyBorder="1" applyAlignment="1" applyProtection="1"/>
    <xf numFmtId="0" fontId="7" fillId="0" borderId="60" xfId="102" applyNumberFormat="1" applyFont="1" applyFill="1" applyBorder="1" applyAlignment="1" applyProtection="1">
      <alignment horizontal="left"/>
    </xf>
    <xf numFmtId="0" fontId="7" fillId="0" borderId="58" xfId="102" quotePrefix="1" applyNumberFormat="1" applyFont="1" applyFill="1" applyBorder="1" applyAlignment="1" applyProtection="1">
      <alignment horizontal="left"/>
    </xf>
    <xf numFmtId="0" fontId="7" fillId="0" borderId="39" xfId="102" applyNumberFormat="1" applyFont="1" applyFill="1" applyBorder="1" applyAlignment="1" applyProtection="1"/>
    <xf numFmtId="0" fontId="7" fillId="0" borderId="40" xfId="102" applyNumberFormat="1" applyFont="1" applyFill="1" applyBorder="1" applyAlignment="1" applyProtection="1"/>
    <xf numFmtId="0" fontId="6" fillId="0" borderId="70" xfId="102" applyNumberFormat="1" applyFont="1" applyFill="1" applyBorder="1" applyAlignment="1" applyProtection="1">
      <alignment horizontal="left"/>
    </xf>
    <xf numFmtId="0" fontId="7" fillId="0" borderId="54" xfId="102" quotePrefix="1" applyNumberFormat="1" applyFont="1" applyFill="1" applyBorder="1" applyAlignment="1" applyProtection="1"/>
    <xf numFmtId="0" fontId="6" fillId="0" borderId="16" xfId="102" quotePrefix="1" applyNumberFormat="1" applyFont="1" applyFill="1" applyBorder="1" applyAlignment="1" applyProtection="1">
      <alignment horizontal="center"/>
    </xf>
    <xf numFmtId="0" fontId="7" fillId="0" borderId="52" xfId="102" applyNumberFormat="1" applyFont="1" applyFill="1" applyBorder="1" applyAlignment="1" applyProtection="1">
      <alignment horizontal="center"/>
    </xf>
    <xf numFmtId="0" fontId="7" fillId="0" borderId="58" xfId="102" applyNumberFormat="1" applyFont="1" applyFill="1" applyBorder="1" applyAlignment="1" applyProtection="1">
      <alignment wrapText="1"/>
    </xf>
    <xf numFmtId="0" fontId="7" fillId="0" borderId="53" xfId="102" applyNumberFormat="1" applyFont="1" applyFill="1" applyBorder="1" applyAlignment="1" applyProtection="1">
      <alignment horizontal="left" wrapText="1"/>
    </xf>
    <xf numFmtId="0" fontId="7" fillId="0" borderId="53" xfId="102" applyNumberFormat="1" applyFont="1" applyFill="1" applyBorder="1" applyAlignment="1" applyProtection="1">
      <alignment wrapText="1"/>
    </xf>
    <xf numFmtId="0" fontId="7" fillId="0" borderId="53" xfId="102" quotePrefix="1" applyNumberFormat="1" applyFont="1" applyFill="1" applyBorder="1" applyAlignment="1" applyProtection="1">
      <alignment horizontal="left" wrapText="1"/>
    </xf>
    <xf numFmtId="0" fontId="7" fillId="0" borderId="70" xfId="102" applyNumberFormat="1" applyFont="1" applyFill="1" applyBorder="1" applyAlignment="1" applyProtection="1">
      <alignment horizontal="left" wrapText="1"/>
    </xf>
    <xf numFmtId="0" fontId="7" fillId="0" borderId="57" xfId="102" applyNumberFormat="1" applyFont="1" applyFill="1" applyBorder="1" applyAlignment="1" applyProtection="1">
      <alignment horizontal="center"/>
    </xf>
    <xf numFmtId="0" fontId="7" fillId="0" borderId="16" xfId="102" applyNumberFormat="1" applyFont="1" applyFill="1" applyBorder="1" applyAlignment="1" applyProtection="1">
      <alignment horizontal="center"/>
    </xf>
    <xf numFmtId="0" fontId="7" fillId="0" borderId="60" xfId="102" quotePrefix="1" applyNumberFormat="1" applyFont="1" applyFill="1" applyBorder="1" applyAlignment="1" applyProtection="1">
      <alignment horizontal="left"/>
    </xf>
    <xf numFmtId="0" fontId="7" fillId="0" borderId="55" xfId="102" applyNumberFormat="1" applyFont="1" applyFill="1" applyBorder="1" applyAlignment="1" applyProtection="1"/>
    <xf numFmtId="0" fontId="7" fillId="0" borderId="67" xfId="102" quotePrefix="1" applyNumberFormat="1" applyFont="1" applyFill="1" applyBorder="1" applyAlignment="1" applyProtection="1">
      <alignment horizontal="center"/>
    </xf>
    <xf numFmtId="0" fontId="7" fillId="0" borderId="54" xfId="102" applyNumberFormat="1" applyFont="1" applyFill="1" applyBorder="1" applyAlignment="1" applyProtection="1">
      <alignment horizontal="center"/>
    </xf>
    <xf numFmtId="0" fontId="6" fillId="0" borderId="55" xfId="102" quotePrefix="1" applyNumberFormat="1" applyFont="1" applyFill="1" applyBorder="1" applyAlignment="1" applyProtection="1">
      <alignment horizontal="left"/>
    </xf>
    <xf numFmtId="0" fontId="6" fillId="0" borderId="58" xfId="102" applyNumberFormat="1" applyFont="1" applyFill="1" applyBorder="1" applyAlignment="1" applyProtection="1">
      <alignment horizontal="left"/>
    </xf>
    <xf numFmtId="0" fontId="7" fillId="0" borderId="59" xfId="102" applyNumberFormat="1" applyFont="1" applyFill="1" applyBorder="1" applyAlignment="1" applyProtection="1">
      <alignment horizontal="left"/>
    </xf>
    <xf numFmtId="0" fontId="7" fillId="0" borderId="66" xfId="102" quotePrefix="1" applyNumberFormat="1" applyFont="1" applyFill="1" applyBorder="1" applyAlignment="1" applyProtection="1">
      <alignment horizontal="center"/>
    </xf>
    <xf numFmtId="0" fontId="6" fillId="0" borderId="66" xfId="102" quotePrefix="1" applyNumberFormat="1" applyFont="1" applyFill="1" applyBorder="1" applyAlignment="1" applyProtection="1">
      <alignment horizontal="center"/>
    </xf>
    <xf numFmtId="0" fontId="6" fillId="0" borderId="69" xfId="102" applyNumberFormat="1" applyFont="1" applyFill="1" applyBorder="1" applyAlignment="1" applyProtection="1">
      <alignment horizontal="left"/>
    </xf>
    <xf numFmtId="0" fontId="7" fillId="0" borderId="11" xfId="102" applyNumberFormat="1" applyFont="1" applyFill="1" applyBorder="1" applyAlignment="1" applyProtection="1">
      <alignment horizontal="left"/>
    </xf>
    <xf numFmtId="0" fontId="7" fillId="0" borderId="70" xfId="102" applyNumberFormat="1" applyFont="1" applyFill="1" applyBorder="1" applyAlignment="1" applyProtection="1">
      <alignment horizontal="left"/>
    </xf>
    <xf numFmtId="0" fontId="6" fillId="0" borderId="0" xfId="102" applyNumberFormat="1" applyFont="1" applyFill="1" applyBorder="1" applyAlignment="1" applyProtection="1">
      <alignment horizontal="left"/>
    </xf>
    <xf numFmtId="0" fontId="7" fillId="25" borderId="52" xfId="102" applyNumberFormat="1" applyFont="1" applyFill="1" applyBorder="1" applyAlignment="1" applyProtection="1">
      <alignment horizontal="center"/>
    </xf>
    <xf numFmtId="0" fontId="7" fillId="25" borderId="54" xfId="102" applyNumberFormat="1" applyFont="1" applyFill="1" applyBorder="1" applyAlignment="1" applyProtection="1">
      <alignment horizontal="center"/>
    </xf>
    <xf numFmtId="0" fontId="6" fillId="0" borderId="57" xfId="102" quotePrefix="1" applyNumberFormat="1" applyFont="1" applyFill="1" applyBorder="1" applyAlignment="1" applyProtection="1">
      <alignment horizontal="center"/>
    </xf>
    <xf numFmtId="0" fontId="7" fillId="25" borderId="52" xfId="102" quotePrefix="1" applyNumberFormat="1" applyFont="1" applyFill="1" applyBorder="1" applyAlignment="1" applyProtection="1">
      <alignment horizontal="center"/>
    </xf>
    <xf numFmtId="0" fontId="7" fillId="0" borderId="16" xfId="102" quotePrefix="1" applyNumberFormat="1" applyFont="1" applyFill="1" applyBorder="1" applyAlignment="1" applyProtection="1">
      <alignment horizontal="center"/>
    </xf>
    <xf numFmtId="0" fontId="6" fillId="0" borderId="50" xfId="102" quotePrefix="1" applyNumberFormat="1" applyFont="1" applyFill="1" applyBorder="1" applyAlignment="1" applyProtection="1">
      <alignment horizontal="center"/>
    </xf>
    <xf numFmtId="0" fontId="7" fillId="0" borderId="60" xfId="102" applyNumberFormat="1" applyFont="1" applyFill="1" applyBorder="1" applyAlignment="1" applyProtection="1"/>
    <xf numFmtId="0" fontId="7" fillId="0" borderId="53" xfId="102" quotePrefix="1" applyNumberFormat="1" applyFont="1" applyFill="1" applyBorder="1" applyAlignment="1" applyProtection="1">
      <alignment vertical="center" wrapText="1"/>
    </xf>
    <xf numFmtId="0" fontId="3" fillId="0" borderId="0" xfId="102" applyNumberFormat="1" applyFont="1" applyFill="1" applyAlignment="1" applyProtection="1">
      <alignment horizontal="center"/>
    </xf>
    <xf numFmtId="0" fontId="6" fillId="0" borderId="15" xfId="102" applyNumberFormat="1" applyFont="1" applyFill="1" applyBorder="1" applyAlignment="1" applyProtection="1">
      <alignment horizontal="center" vertical="center" wrapText="1"/>
    </xf>
    <xf numFmtId="0" fontId="6" fillId="0" borderId="69" xfId="102" applyNumberFormat="1" applyFont="1" applyFill="1" applyBorder="1" applyAlignment="1" applyProtection="1">
      <alignment horizontal="center" vertical="center" wrapText="1"/>
    </xf>
    <xf numFmtId="0" fontId="6" fillId="0" borderId="17" xfId="102" applyNumberFormat="1" applyFont="1" applyFill="1" applyBorder="1" applyAlignment="1" applyProtection="1">
      <alignment horizontal="center" vertical="center" wrapText="1"/>
    </xf>
    <xf numFmtId="0" fontId="3" fillId="0" borderId="0" xfId="102" applyNumberFormat="1" applyFont="1" applyFill="1" applyAlignment="1" applyProtection="1">
      <alignment horizontal="center"/>
    </xf>
    <xf numFmtId="0" fontId="6" fillId="0" borderId="69" xfId="102" quotePrefix="1" applyNumberFormat="1" applyFont="1" applyFill="1" applyBorder="1" applyAlignment="1" applyProtection="1">
      <alignment horizontal="left"/>
    </xf>
    <xf numFmtId="0" fontId="6" fillId="0" borderId="4" xfId="102" quotePrefix="1" applyNumberFormat="1" applyFont="1" applyFill="1" applyBorder="1" applyAlignment="1" applyProtection="1">
      <alignment horizontal="center"/>
    </xf>
    <xf numFmtId="0" fontId="6" fillId="0" borderId="0" xfId="102" applyNumberFormat="1" applyFont="1" applyFill="1" applyBorder="1" applyAlignment="1" applyProtection="1">
      <alignment horizontal="center" vertical="center" wrapText="1"/>
    </xf>
    <xf numFmtId="0" fontId="6" fillId="0" borderId="0" xfId="102" applyNumberFormat="1" applyFont="1" applyFill="1" applyBorder="1" applyAlignment="1" applyProtection="1">
      <alignment horizontal="center" vertical="center" wrapText="1"/>
    </xf>
    <xf numFmtId="0" fontId="6" fillId="0" borderId="15" xfId="102" applyNumberFormat="1" applyFont="1" applyFill="1" applyBorder="1" applyAlignment="1" applyProtection="1">
      <alignment horizontal="center" vertical="center" wrapText="1"/>
    </xf>
    <xf numFmtId="0" fontId="6" fillId="0" borderId="69" xfId="102" applyNumberFormat="1" applyFont="1" applyFill="1" applyBorder="1" applyAlignment="1" applyProtection="1">
      <alignment horizontal="center" vertical="center" wrapText="1"/>
    </xf>
    <xf numFmtId="0" fontId="6" fillId="0" borderId="17" xfId="102" applyNumberFormat="1" applyFont="1" applyFill="1" applyBorder="1" applyAlignment="1" applyProtection="1">
      <alignment horizontal="center" vertical="center" wrapText="1"/>
    </xf>
    <xf numFmtId="0" fontId="6" fillId="0" borderId="69" xfId="102" quotePrefix="1" applyNumberFormat="1" applyFont="1" applyFill="1" applyBorder="1" applyAlignment="1" applyProtection="1">
      <alignment horizontal="left"/>
    </xf>
    <xf numFmtId="0" fontId="6" fillId="0" borderId="4" xfId="102" quotePrefix="1" applyNumberFormat="1" applyFont="1" applyFill="1" applyBorder="1" applyAlignment="1" applyProtection="1">
      <alignment horizontal="center"/>
    </xf>
    <xf numFmtId="0" fontId="3" fillId="0" borderId="0" xfId="102" applyNumberFormat="1" applyFont="1" applyFill="1" applyAlignment="1" applyProtection="1">
      <alignment horizontal="center"/>
    </xf>
    <xf numFmtId="0" fontId="5" fillId="0" borderId="0" xfId="102" applyNumberFormat="1" applyFont="1" applyFill="1" applyAlignment="1" applyProtection="1"/>
    <xf numFmtId="0" fontId="5" fillId="0" borderId="0" xfId="102" applyNumberFormat="1" applyFont="1" applyFill="1" applyAlignment="1" applyProtection="1">
      <alignment horizontal="center"/>
    </xf>
    <xf numFmtId="0" fontId="6" fillId="0" borderId="20" xfId="77" applyNumberFormat="1" applyFont="1" applyFill="1" applyBorder="1" applyAlignment="1" applyProtection="1"/>
    <xf numFmtId="0" fontId="6" fillId="0" borderId="15" xfId="102" applyNumberFormat="1" applyFont="1" applyFill="1" applyBorder="1" applyAlignment="1" applyProtection="1">
      <alignment horizontal="center" vertical="center" wrapText="1"/>
    </xf>
    <xf numFmtId="0" fontId="6" fillId="0" borderId="69" xfId="102" applyNumberFormat="1" applyFont="1" applyFill="1" applyBorder="1" applyAlignment="1" applyProtection="1">
      <alignment horizontal="center" vertical="center" wrapText="1"/>
    </xf>
    <xf numFmtId="0" fontId="6" fillId="0" borderId="17" xfId="102" applyNumberFormat="1" applyFont="1" applyFill="1" applyBorder="1" applyAlignment="1" applyProtection="1">
      <alignment horizontal="center" vertical="center" wrapText="1"/>
    </xf>
    <xf numFmtId="0" fontId="3" fillId="0" borderId="0" xfId="102" applyNumberFormat="1" applyFont="1" applyFill="1" applyAlignment="1" applyProtection="1">
      <alignment horizontal="center"/>
    </xf>
    <xf numFmtId="0" fontId="6" fillId="0" borderId="69" xfId="102" quotePrefix="1" applyNumberFormat="1" applyFont="1" applyFill="1" applyBorder="1" applyAlignment="1" applyProtection="1">
      <alignment horizontal="left"/>
    </xf>
    <xf numFmtId="0" fontId="6" fillId="0" borderId="4" xfId="102" quotePrefix="1" applyNumberFormat="1" applyFont="1" applyFill="1" applyBorder="1" applyAlignment="1" applyProtection="1">
      <alignment horizontal="center"/>
    </xf>
    <xf numFmtId="0" fontId="6" fillId="0" borderId="0" xfId="102" applyNumberFormat="1" applyFont="1" applyFill="1" applyBorder="1" applyAlignment="1" applyProtection="1">
      <alignment horizontal="center" vertical="center" wrapText="1"/>
    </xf>
    <xf numFmtId="0" fontId="27" fillId="0" borderId="0" xfId="77" applyNumberFormat="1" applyFont="1" applyFill="1" applyAlignment="1" applyProtection="1"/>
    <xf numFmtId="0" fontId="28" fillId="0" borderId="0" xfId="77" applyNumberFormat="1" applyFont="1" applyFill="1" applyBorder="1" applyAlignment="1" applyProtection="1">
      <alignment horizontal="center"/>
    </xf>
    <xf numFmtId="0" fontId="27" fillId="0" borderId="0" xfId="77" applyNumberFormat="1" applyFont="1" applyFill="1" applyBorder="1" applyAlignment="1" applyProtection="1">
      <alignment horizontal="center"/>
    </xf>
    <xf numFmtId="0" fontId="27" fillId="0" borderId="0" xfId="77" applyNumberFormat="1" applyFont="1" applyFill="1" applyBorder="1" applyAlignment="1" applyProtection="1"/>
    <xf numFmtId="0" fontId="29" fillId="0" borderId="0" xfId="77" applyNumberFormat="1" applyFont="1" applyFill="1" applyAlignment="1" applyProtection="1"/>
    <xf numFmtId="164" fontId="27" fillId="0" borderId="0" xfId="77" applyNumberFormat="1" applyFont="1" applyFill="1" applyAlignment="1" applyProtection="1"/>
    <xf numFmtId="0" fontId="6" fillId="0" borderId="15" xfId="102" applyNumberFormat="1" applyFont="1" applyFill="1" applyBorder="1" applyAlignment="1" applyProtection="1">
      <alignment horizontal="center" vertical="center" wrapText="1"/>
    </xf>
    <xf numFmtId="0" fontId="6" fillId="0" borderId="69" xfId="102" applyNumberFormat="1" applyFont="1" applyFill="1" applyBorder="1" applyAlignment="1" applyProtection="1">
      <alignment horizontal="center" vertical="center" wrapText="1"/>
    </xf>
    <xf numFmtId="0" fontId="6" fillId="0" borderId="17" xfId="102" applyNumberFormat="1" applyFont="1" applyFill="1" applyBorder="1" applyAlignment="1" applyProtection="1">
      <alignment horizontal="center" vertical="center" wrapText="1"/>
    </xf>
    <xf numFmtId="0" fontId="6" fillId="0" borderId="0" xfId="102" applyNumberFormat="1" applyFont="1" applyFill="1" applyBorder="1" applyAlignment="1" applyProtection="1">
      <alignment horizontal="center" vertical="center" wrapText="1"/>
    </xf>
    <xf numFmtId="0" fontId="6" fillId="0" borderId="4" xfId="102" quotePrefix="1" applyNumberFormat="1" applyFont="1" applyFill="1" applyBorder="1" applyAlignment="1" applyProtection="1">
      <alignment horizontal="center"/>
    </xf>
    <xf numFmtId="0" fontId="6" fillId="0" borderId="69" xfId="102" quotePrefix="1" applyNumberFormat="1" applyFont="1" applyFill="1" applyBorder="1" applyAlignment="1" applyProtection="1">
      <alignment horizontal="left"/>
    </xf>
    <xf numFmtId="0" fontId="3" fillId="0" borderId="0" xfId="102" applyNumberFormat="1" applyFont="1" applyFill="1" applyAlignment="1" applyProtection="1">
      <alignment horizontal="center"/>
    </xf>
    <xf numFmtId="0" fontId="6" fillId="0" borderId="15" xfId="102" applyNumberFormat="1" applyFont="1" applyFill="1" applyBorder="1" applyAlignment="1" applyProtection="1">
      <alignment horizontal="center" vertical="center" wrapText="1"/>
    </xf>
    <xf numFmtId="0" fontId="6" fillId="0" borderId="69" xfId="102" applyNumberFormat="1" applyFont="1" applyFill="1" applyBorder="1" applyAlignment="1" applyProtection="1">
      <alignment horizontal="center" vertical="center" wrapText="1"/>
    </xf>
    <xf numFmtId="0" fontId="6" fillId="0" borderId="17" xfId="102" applyNumberFormat="1" applyFont="1" applyFill="1" applyBorder="1" applyAlignment="1" applyProtection="1">
      <alignment horizontal="center" vertical="center" wrapText="1"/>
    </xf>
    <xf numFmtId="0" fontId="3" fillId="0" borderId="0" xfId="102" applyNumberFormat="1" applyFont="1" applyFill="1" applyAlignment="1" applyProtection="1">
      <alignment horizontal="center"/>
    </xf>
    <xf numFmtId="0" fontId="6" fillId="0" borderId="69" xfId="102" quotePrefix="1" applyNumberFormat="1" applyFont="1" applyFill="1" applyBorder="1" applyAlignment="1" applyProtection="1">
      <alignment horizontal="left"/>
    </xf>
    <xf numFmtId="0" fontId="6" fillId="0" borderId="4" xfId="102" quotePrefix="1" applyNumberFormat="1" applyFont="1" applyFill="1" applyBorder="1" applyAlignment="1" applyProtection="1">
      <alignment horizontal="center"/>
    </xf>
    <xf numFmtId="0" fontId="6" fillId="0" borderId="0" xfId="102" applyNumberFormat="1" applyFont="1" applyFill="1" applyBorder="1" applyAlignment="1" applyProtection="1">
      <alignment horizontal="center" vertical="center" wrapText="1"/>
    </xf>
    <xf numFmtId="0" fontId="7" fillId="0" borderId="4" xfId="77" applyNumberFormat="1" applyFont="1" applyFill="1" applyBorder="1" applyAlignment="1" applyProtection="1"/>
    <xf numFmtId="0" fontId="27" fillId="0" borderId="20" xfId="77" applyNumberFormat="1" applyFont="1" applyFill="1" applyBorder="1" applyAlignment="1" applyProtection="1"/>
    <xf numFmtId="0" fontId="27" fillId="0" borderId="4" xfId="77" applyNumberFormat="1" applyFont="1" applyFill="1" applyBorder="1" applyAlignment="1" applyProtection="1"/>
    <xf numFmtId="0" fontId="6" fillId="0" borderId="0" xfId="102" applyNumberFormat="1" applyFont="1" applyFill="1" applyBorder="1" applyAlignment="1" applyProtection="1">
      <alignment horizontal="center" vertical="center" wrapText="1"/>
    </xf>
    <xf numFmtId="0" fontId="6" fillId="0" borderId="15" xfId="102" applyNumberFormat="1" applyFont="1" applyFill="1" applyBorder="1" applyAlignment="1" applyProtection="1">
      <alignment horizontal="center" vertical="center" wrapText="1"/>
    </xf>
    <xf numFmtId="0" fontId="6" fillId="0" borderId="69" xfId="102" applyNumberFormat="1" applyFont="1" applyFill="1" applyBorder="1" applyAlignment="1" applyProtection="1">
      <alignment horizontal="center" vertical="center" wrapText="1"/>
    </xf>
    <xf numFmtId="0" fontId="6" fillId="0" borderId="17" xfId="102" applyNumberFormat="1" applyFont="1" applyFill="1" applyBorder="1" applyAlignment="1" applyProtection="1">
      <alignment horizontal="center" vertical="center" wrapText="1"/>
    </xf>
    <xf numFmtId="0" fontId="6" fillId="0" borderId="4" xfId="102" quotePrefix="1" applyNumberFormat="1" applyFont="1" applyFill="1" applyBorder="1" applyAlignment="1" applyProtection="1">
      <alignment horizontal="center"/>
    </xf>
    <xf numFmtId="0" fontId="6" fillId="0" borderId="69" xfId="102" quotePrefix="1" applyNumberFormat="1" applyFont="1" applyFill="1" applyBorder="1" applyAlignment="1" applyProtection="1">
      <alignment horizontal="left"/>
    </xf>
    <xf numFmtId="0" fontId="3" fillId="0" borderId="0" xfId="102" applyNumberFormat="1" applyFont="1" applyFill="1" applyAlignment="1" applyProtection="1">
      <alignment horizontal="center"/>
    </xf>
    <xf numFmtId="0" fontId="6" fillId="0" borderId="60" xfId="77" applyNumberFormat="1" applyFont="1" applyFill="1" applyBorder="1" applyAlignment="1" applyProtection="1">
      <alignment horizontal="center" vertical="center" wrapText="1"/>
    </xf>
    <xf numFmtId="0" fontId="6" fillId="0" borderId="0" xfId="77" applyNumberFormat="1" applyFont="1" applyFill="1" applyBorder="1" applyAlignment="1" applyProtection="1">
      <alignment horizontal="center" vertical="center" wrapText="1"/>
    </xf>
    <xf numFmtId="0" fontId="6" fillId="0" borderId="25" xfId="77" applyNumberFormat="1" applyFont="1" applyFill="1" applyBorder="1" applyAlignment="1" applyProtection="1">
      <alignment horizontal="center"/>
    </xf>
    <xf numFmtId="0" fontId="6" fillId="0" borderId="26" xfId="77" applyNumberFormat="1" applyFont="1" applyFill="1" applyBorder="1" applyAlignment="1" applyProtection="1">
      <alignment horizontal="center"/>
    </xf>
    <xf numFmtId="0" fontId="6" fillId="0" borderId="27" xfId="77" applyNumberFormat="1" applyFont="1" applyFill="1" applyBorder="1" applyAlignment="1" applyProtection="1">
      <alignment horizontal="center"/>
    </xf>
    <xf numFmtId="0" fontId="6" fillId="0" borderId="47" xfId="77" applyNumberFormat="1" applyFont="1" applyFill="1" applyBorder="1" applyAlignment="1" applyProtection="1">
      <alignment horizontal="center"/>
    </xf>
    <xf numFmtId="0" fontId="6" fillId="0" borderId="28" xfId="77" applyNumberFormat="1" applyFont="1" applyFill="1" applyBorder="1" applyAlignment="1" applyProtection="1">
      <alignment horizontal="center"/>
    </xf>
    <xf numFmtId="0" fontId="6" fillId="0" borderId="29" xfId="77" applyNumberFormat="1" applyFont="1" applyFill="1" applyBorder="1" applyAlignment="1" applyProtection="1">
      <alignment horizontal="center"/>
    </xf>
    <xf numFmtId="0" fontId="6" fillId="0" borderId="15" xfId="77" quotePrefix="1" applyNumberFormat="1" applyFont="1" applyFill="1" applyBorder="1" applyAlignment="1" applyProtection="1">
      <alignment horizontal="center"/>
    </xf>
    <xf numFmtId="0" fontId="6" fillId="0" borderId="69" xfId="77" quotePrefix="1" applyNumberFormat="1" applyFont="1" applyFill="1" applyBorder="1" applyAlignment="1" applyProtection="1">
      <alignment horizontal="center"/>
    </xf>
    <xf numFmtId="0" fontId="6" fillId="0" borderId="17" xfId="77" quotePrefix="1" applyNumberFormat="1" applyFont="1" applyFill="1" applyBorder="1" applyAlignment="1" applyProtection="1">
      <alignment horizontal="center"/>
    </xf>
    <xf numFmtId="0" fontId="6" fillId="0" borderId="15" xfId="77" applyNumberFormat="1" applyFont="1" applyFill="1" applyBorder="1" applyAlignment="1" applyProtection="1">
      <alignment horizontal="center" vertical="center" wrapText="1"/>
    </xf>
    <xf numFmtId="0" fontId="6" fillId="0" borderId="69" xfId="77" applyNumberFormat="1" applyFont="1" applyFill="1" applyBorder="1" applyAlignment="1" applyProtection="1">
      <alignment horizontal="center" vertical="center" wrapText="1"/>
    </xf>
    <xf numFmtId="0" fontId="6" fillId="0" borderId="17" xfId="77" applyNumberFormat="1" applyFont="1" applyFill="1" applyBorder="1" applyAlignment="1" applyProtection="1">
      <alignment horizontal="center" vertical="center" wrapText="1"/>
    </xf>
    <xf numFmtId="0" fontId="3" fillId="0" borderId="0" xfId="77" applyNumberFormat="1" applyFont="1" applyFill="1" applyAlignment="1" applyProtection="1">
      <alignment horizontal="center"/>
    </xf>
    <xf numFmtId="0" fontId="3" fillId="0" borderId="42" xfId="77" applyNumberFormat="1" applyFont="1" applyFill="1" applyBorder="1" applyAlignment="1" applyProtection="1">
      <alignment horizontal="center"/>
    </xf>
    <xf numFmtId="0" fontId="6" fillId="0" borderId="15" xfId="77" applyNumberFormat="1" applyFont="1" applyFill="1" applyBorder="1" applyAlignment="1" applyProtection="1">
      <alignment horizontal="center"/>
    </xf>
    <xf numFmtId="0" fontId="6" fillId="0" borderId="69" xfId="77" applyNumberFormat="1" applyFont="1" applyFill="1" applyBorder="1" applyAlignment="1" applyProtection="1">
      <alignment horizontal="center"/>
    </xf>
    <xf numFmtId="0" fontId="6" fillId="0" borderId="17" xfId="77" applyNumberFormat="1" applyFont="1" applyFill="1" applyBorder="1" applyAlignment="1" applyProtection="1">
      <alignment horizontal="center"/>
    </xf>
    <xf numFmtId="0" fontId="6" fillId="0" borderId="63" xfId="77" applyNumberFormat="1" applyFont="1" applyFill="1" applyBorder="1" applyAlignment="1" applyProtection="1">
      <alignment horizontal="center"/>
    </xf>
    <xf numFmtId="0" fontId="6" fillId="0" borderId="18" xfId="77" applyNumberFormat="1" applyFont="1" applyFill="1" applyBorder="1" applyAlignment="1" applyProtection="1">
      <alignment horizontal="center"/>
    </xf>
    <xf numFmtId="0" fontId="6" fillId="0" borderId="19" xfId="77" applyNumberFormat="1" applyFont="1" applyFill="1" applyBorder="1" applyAlignment="1" applyProtection="1">
      <alignment horizontal="center"/>
    </xf>
    <xf numFmtId="0" fontId="6" fillId="0" borderId="15" xfId="77" quotePrefix="1" applyNumberFormat="1" applyFont="1" applyFill="1" applyBorder="1" applyAlignment="1" applyProtection="1">
      <alignment horizontal="center" wrapText="1"/>
    </xf>
    <xf numFmtId="0" fontId="6" fillId="0" borderId="69" xfId="77" quotePrefix="1" applyNumberFormat="1" applyFont="1" applyFill="1" applyBorder="1" applyAlignment="1" applyProtection="1">
      <alignment horizontal="center" wrapText="1"/>
    </xf>
    <xf numFmtId="0" fontId="6" fillId="0" borderId="17" xfId="77" quotePrefix="1" applyNumberFormat="1" applyFont="1" applyFill="1" applyBorder="1" applyAlignment="1" applyProtection="1">
      <alignment horizontal="center" wrapText="1"/>
    </xf>
    <xf numFmtId="0" fontId="6" fillId="0" borderId="4" xfId="77" quotePrefix="1" applyNumberFormat="1" applyFont="1" applyFill="1" applyBorder="1" applyAlignment="1" applyProtection="1">
      <alignment horizontal="center"/>
    </xf>
    <xf numFmtId="0" fontId="6" fillId="0" borderId="15" xfId="77" quotePrefix="1" applyNumberFormat="1" applyFont="1" applyFill="1" applyBorder="1" applyAlignment="1" applyProtection="1">
      <alignment horizontal="center" vertical="center" wrapText="1"/>
    </xf>
    <xf numFmtId="0" fontId="6" fillId="0" borderId="69" xfId="77" quotePrefix="1" applyNumberFormat="1" applyFont="1" applyFill="1" applyBorder="1" applyAlignment="1" applyProtection="1">
      <alignment horizontal="center" vertical="center" wrapText="1"/>
    </xf>
    <xf numFmtId="0" fontId="6" fillId="0" borderId="17" xfId="77" quotePrefix="1" applyNumberFormat="1" applyFont="1" applyFill="1" applyBorder="1" applyAlignment="1" applyProtection="1">
      <alignment horizontal="center" vertical="center" wrapText="1"/>
    </xf>
    <xf numFmtId="0" fontId="6" fillId="0" borderId="48" xfId="77" applyNumberFormat="1" applyFont="1" applyFill="1" applyBorder="1" applyAlignment="1" applyProtection="1">
      <alignment horizontal="center" vertical="center" wrapText="1"/>
    </xf>
    <xf numFmtId="0" fontId="6" fillId="0" borderId="16" xfId="77" applyNumberFormat="1" applyFont="1" applyFill="1" applyBorder="1" applyAlignment="1" applyProtection="1">
      <alignment horizontal="center" vertical="center" wrapText="1"/>
    </xf>
    <xf numFmtId="0" fontId="6" fillId="0" borderId="15" xfId="77" quotePrefix="1" applyNumberFormat="1" applyFont="1" applyFill="1" applyBorder="1" applyAlignment="1" applyProtection="1">
      <alignment horizontal="left" vertical="center" wrapText="1"/>
    </xf>
    <xf numFmtId="0" fontId="6" fillId="0" borderId="69" xfId="77" quotePrefix="1" applyNumberFormat="1" applyFont="1" applyFill="1" applyBorder="1" applyAlignment="1" applyProtection="1">
      <alignment horizontal="left" vertical="center" wrapText="1"/>
    </xf>
    <xf numFmtId="0" fontId="6" fillId="0" borderId="17" xfId="77" quotePrefix="1" applyNumberFormat="1" applyFont="1" applyFill="1" applyBorder="1" applyAlignment="1" applyProtection="1">
      <alignment horizontal="left" vertical="center" wrapText="1"/>
    </xf>
    <xf numFmtId="0" fontId="6" fillId="0" borderId="69" xfId="77" quotePrefix="1" applyNumberFormat="1" applyFont="1" applyFill="1" applyBorder="1" applyAlignment="1" applyProtection="1">
      <alignment horizontal="left"/>
    </xf>
    <xf numFmtId="0" fontId="6" fillId="0" borderId="68" xfId="77" quotePrefix="1" applyNumberFormat="1" applyFont="1" applyFill="1" applyBorder="1" applyAlignment="1" applyProtection="1">
      <alignment horizontal="left"/>
    </xf>
    <xf numFmtId="0" fontId="6" fillId="0" borderId="25" xfId="102" applyNumberFormat="1" applyFont="1" applyFill="1" applyBorder="1" applyAlignment="1" applyProtection="1">
      <alignment horizontal="center"/>
    </xf>
    <xf numFmtId="0" fontId="6" fillId="0" borderId="26" xfId="102" applyNumberFormat="1" applyFont="1" applyFill="1" applyBorder="1" applyAlignment="1" applyProtection="1">
      <alignment horizontal="center"/>
    </xf>
    <xf numFmtId="0" fontId="6" fillId="0" borderId="27" xfId="102" applyNumberFormat="1" applyFont="1" applyFill="1" applyBorder="1" applyAlignment="1" applyProtection="1">
      <alignment horizontal="center"/>
    </xf>
    <xf numFmtId="0" fontId="6" fillId="0" borderId="47" xfId="102" applyNumberFormat="1" applyFont="1" applyFill="1" applyBorder="1" applyAlignment="1" applyProtection="1">
      <alignment horizontal="center"/>
    </xf>
    <xf numFmtId="0" fontId="6" fillId="0" borderId="28" xfId="102" applyNumberFormat="1" applyFont="1" applyFill="1" applyBorder="1" applyAlignment="1" applyProtection="1">
      <alignment horizontal="center"/>
    </xf>
    <xf numFmtId="0" fontId="6" fillId="0" borderId="29" xfId="102" applyNumberFormat="1" applyFont="1" applyFill="1" applyBorder="1" applyAlignment="1" applyProtection="1">
      <alignment horizontal="center"/>
    </xf>
    <xf numFmtId="0" fontId="6" fillId="0" borderId="15" xfId="102" quotePrefix="1" applyNumberFormat="1" applyFont="1" applyFill="1" applyBorder="1" applyAlignment="1" applyProtection="1">
      <alignment horizontal="center"/>
    </xf>
    <xf numFmtId="0" fontId="6" fillId="0" borderId="69" xfId="102" quotePrefix="1" applyNumberFormat="1" applyFont="1" applyFill="1" applyBorder="1" applyAlignment="1" applyProtection="1">
      <alignment horizontal="center"/>
    </xf>
    <xf numFmtId="0" fontId="6" fillId="0" borderId="17" xfId="102" quotePrefix="1" applyNumberFormat="1" applyFont="1" applyFill="1" applyBorder="1" applyAlignment="1" applyProtection="1">
      <alignment horizontal="center"/>
    </xf>
    <xf numFmtId="0" fontId="6" fillId="0" borderId="15" xfId="102" applyNumberFormat="1" applyFont="1" applyFill="1" applyBorder="1" applyAlignment="1" applyProtection="1">
      <alignment horizontal="center" vertical="center" wrapText="1"/>
    </xf>
    <xf numFmtId="0" fontId="6" fillId="0" borderId="69" xfId="102" applyNumberFormat="1" applyFont="1" applyFill="1" applyBorder="1" applyAlignment="1" applyProtection="1">
      <alignment horizontal="center" vertical="center" wrapText="1"/>
    </xf>
    <xf numFmtId="0" fontId="6" fillId="0" borderId="17" xfId="102" applyNumberFormat="1" applyFont="1" applyFill="1" applyBorder="1" applyAlignment="1" applyProtection="1">
      <alignment horizontal="center" vertical="center" wrapText="1"/>
    </xf>
    <xf numFmtId="0" fontId="3" fillId="0" borderId="0" xfId="102" applyNumberFormat="1" applyFont="1" applyFill="1" applyAlignment="1" applyProtection="1">
      <alignment horizontal="center"/>
    </xf>
    <xf numFmtId="0" fontId="3" fillId="0" borderId="42" xfId="102" applyNumberFormat="1" applyFont="1" applyFill="1" applyBorder="1" applyAlignment="1" applyProtection="1">
      <alignment horizontal="center"/>
    </xf>
    <xf numFmtId="0" fontId="6" fillId="0" borderId="15" xfId="102" applyNumberFormat="1" applyFont="1" applyFill="1" applyBorder="1" applyAlignment="1" applyProtection="1">
      <alignment horizontal="center"/>
    </xf>
    <xf numFmtId="0" fontId="6" fillId="0" borderId="69" xfId="102" applyNumberFormat="1" applyFont="1" applyFill="1" applyBorder="1" applyAlignment="1" applyProtection="1">
      <alignment horizontal="center"/>
    </xf>
    <xf numFmtId="0" fontId="6" fillId="0" borderId="17" xfId="102" applyNumberFormat="1" applyFont="1" applyFill="1" applyBorder="1" applyAlignment="1" applyProtection="1">
      <alignment horizontal="center"/>
    </xf>
    <xf numFmtId="0" fontId="6" fillId="0" borderId="63" xfId="102" applyNumberFormat="1" applyFont="1" applyFill="1" applyBorder="1" applyAlignment="1" applyProtection="1">
      <alignment horizontal="center"/>
    </xf>
    <xf numFmtId="0" fontId="6" fillId="0" borderId="18" xfId="102" applyNumberFormat="1" applyFont="1" applyFill="1" applyBorder="1" applyAlignment="1" applyProtection="1">
      <alignment horizontal="center"/>
    </xf>
    <xf numFmtId="0" fontId="6" fillId="0" borderId="19" xfId="102" applyNumberFormat="1" applyFont="1" applyFill="1" applyBorder="1" applyAlignment="1" applyProtection="1">
      <alignment horizontal="center"/>
    </xf>
    <xf numFmtId="0" fontId="6" fillId="0" borderId="15" xfId="102" quotePrefix="1" applyNumberFormat="1" applyFont="1" applyFill="1" applyBorder="1" applyAlignment="1" applyProtection="1">
      <alignment horizontal="center" vertical="center" wrapText="1"/>
    </xf>
    <xf numFmtId="0" fontId="6" fillId="0" borderId="69" xfId="102" quotePrefix="1" applyNumberFormat="1" applyFont="1" applyFill="1" applyBorder="1" applyAlignment="1" applyProtection="1">
      <alignment horizontal="center" vertical="center" wrapText="1"/>
    </xf>
    <xf numFmtId="0" fontId="6" fillId="0" borderId="17" xfId="102" quotePrefix="1" applyNumberFormat="1" applyFont="1" applyFill="1" applyBorder="1" applyAlignment="1" applyProtection="1">
      <alignment horizontal="center" vertical="center" wrapText="1"/>
    </xf>
    <xf numFmtId="0" fontId="6" fillId="0" borderId="15" xfId="102" quotePrefix="1" applyNumberFormat="1" applyFont="1" applyFill="1" applyBorder="1" applyAlignment="1" applyProtection="1">
      <alignment horizontal="left" vertical="center" wrapText="1"/>
    </xf>
    <xf numFmtId="0" fontId="6" fillId="0" borderId="69" xfId="102" quotePrefix="1" applyNumberFormat="1" applyFont="1" applyFill="1" applyBorder="1" applyAlignment="1" applyProtection="1">
      <alignment horizontal="left" vertical="center" wrapText="1"/>
    </xf>
    <xf numFmtId="0" fontId="6" fillId="0" borderId="17" xfId="102" quotePrefix="1" applyNumberFormat="1" applyFont="1" applyFill="1" applyBorder="1" applyAlignment="1" applyProtection="1">
      <alignment horizontal="left" vertical="center" wrapText="1"/>
    </xf>
    <xf numFmtId="0" fontId="6" fillId="0" borderId="69" xfId="102" quotePrefix="1" applyNumberFormat="1" applyFont="1" applyFill="1" applyBorder="1" applyAlignment="1" applyProtection="1">
      <alignment horizontal="left"/>
    </xf>
    <xf numFmtId="0" fontId="6" fillId="0" borderId="68" xfId="102" quotePrefix="1" applyNumberFormat="1" applyFont="1" applyFill="1" applyBorder="1" applyAlignment="1" applyProtection="1">
      <alignment horizontal="left"/>
    </xf>
    <xf numFmtId="0" fontId="6" fillId="0" borderId="15" xfId="102" quotePrefix="1" applyNumberFormat="1" applyFont="1" applyFill="1" applyBorder="1" applyAlignment="1" applyProtection="1">
      <alignment horizontal="center" wrapText="1"/>
    </xf>
    <xf numFmtId="0" fontId="6" fillId="0" borderId="69" xfId="102" quotePrefix="1" applyNumberFormat="1" applyFont="1" applyFill="1" applyBorder="1" applyAlignment="1" applyProtection="1">
      <alignment horizontal="center" wrapText="1"/>
    </xf>
    <xf numFmtId="0" fontId="6" fillId="0" borderId="17" xfId="102" quotePrefix="1" applyNumberFormat="1" applyFont="1" applyFill="1" applyBorder="1" applyAlignment="1" applyProtection="1">
      <alignment horizontal="center" wrapText="1"/>
    </xf>
    <xf numFmtId="0" fontId="6" fillId="0" borderId="4" xfId="102" quotePrefix="1" applyNumberFormat="1" applyFont="1" applyFill="1" applyBorder="1" applyAlignment="1" applyProtection="1">
      <alignment horizontal="center"/>
    </xf>
    <xf numFmtId="0" fontId="6" fillId="0" borderId="0" xfId="102" applyNumberFormat="1" applyFont="1" applyFill="1" applyBorder="1" applyAlignment="1" applyProtection="1">
      <alignment horizontal="center" vertical="center" wrapText="1"/>
    </xf>
    <xf numFmtId="0" fontId="6" fillId="0" borderId="60" xfId="102" applyNumberFormat="1" applyFont="1" applyFill="1" applyBorder="1" applyAlignment="1" applyProtection="1">
      <alignment horizontal="center" vertical="center" wrapText="1"/>
    </xf>
    <xf numFmtId="0" fontId="6" fillId="0" borderId="48" xfId="102" applyNumberFormat="1" applyFont="1" applyFill="1" applyBorder="1" applyAlignment="1" applyProtection="1">
      <alignment horizontal="center" vertical="center" wrapText="1"/>
    </xf>
    <xf numFmtId="0" fontId="6" fillId="0" borderId="16" xfId="102" applyNumberFormat="1" applyFont="1" applyFill="1" applyBorder="1" applyAlignment="1" applyProtection="1">
      <alignment horizontal="center" vertical="center" wrapText="1"/>
    </xf>
  </cellXfs>
  <cellStyles count="103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scribir" xfId="32"/>
    <cellStyle name="Escribir 2" xfId="33"/>
    <cellStyle name="Escribir 2 2" xfId="62"/>
    <cellStyle name="Escribir 3" xfId="61"/>
    <cellStyle name="Escribir_SBM-09V1.1" xfId="34"/>
    <cellStyle name="Euro" xfId="35"/>
    <cellStyle name="Euro 2" xfId="36"/>
    <cellStyle name="Euro 2 2" xfId="64"/>
    <cellStyle name="Euro 3" xfId="63"/>
    <cellStyle name="Incorrecto 2" xfId="37"/>
    <cellStyle name="Millares [0] 2" xfId="40"/>
    <cellStyle name="Millares [0] 2 2" xfId="41"/>
    <cellStyle name="Millares [0] 2 2 2" xfId="68"/>
    <cellStyle name="Millares [0] 2 3" xfId="67"/>
    <cellStyle name="Millares [0] 3" xfId="42"/>
    <cellStyle name="Millares [0] 3 2" xfId="97"/>
    <cellStyle name="Millares [0] 4" xfId="43"/>
    <cellStyle name="Millares [0] 4 2" xfId="69"/>
    <cellStyle name="Millares [0] 5" xfId="39"/>
    <cellStyle name="Millares [0] 6" xfId="66"/>
    <cellStyle name="Millares 10" xfId="83"/>
    <cellStyle name="Millares 11" xfId="88"/>
    <cellStyle name="Millares 12" xfId="82"/>
    <cellStyle name="Millares 13" xfId="89"/>
    <cellStyle name="Millares 14" xfId="81"/>
    <cellStyle name="Millares 15" xfId="90"/>
    <cellStyle name="Millares 16" xfId="80"/>
    <cellStyle name="Millares 17" xfId="91"/>
    <cellStyle name="Millares 18" xfId="95"/>
    <cellStyle name="Millares 19" xfId="93"/>
    <cellStyle name="Millares 2" xfId="44"/>
    <cellStyle name="Millares 2 2" xfId="70"/>
    <cellStyle name="Millares 20" xfId="92"/>
    <cellStyle name="Millares 21" xfId="94"/>
    <cellStyle name="Millares 22" xfId="96"/>
    <cellStyle name="Millares 3" xfId="45"/>
    <cellStyle name="Millares 3 2" xfId="71"/>
    <cellStyle name="Millares 4" xfId="38"/>
    <cellStyle name="Millares 5" xfId="65"/>
    <cellStyle name="Millares 6" xfId="85"/>
    <cellStyle name="Millares 7" xfId="86"/>
    <cellStyle name="Millares 8" xfId="84"/>
    <cellStyle name="Millares 9" xfId="87"/>
    <cellStyle name="Millares_RMC0" xfId="98"/>
    <cellStyle name="Millares_RMC0 2" xfId="72"/>
    <cellStyle name="Moneda 2" xfId="47"/>
    <cellStyle name="Moneda 2 2" xfId="74"/>
    <cellStyle name="Moneda 3" xfId="46"/>
    <cellStyle name="Moneda 4" xfId="73"/>
    <cellStyle name="Moneda_rem0" xfId="99"/>
    <cellStyle name="Moneda_rem0 2" xfId="75"/>
    <cellStyle name="Neutral 2" xfId="48"/>
    <cellStyle name="Normal" xfId="0" builtinId="0"/>
    <cellStyle name="Normal 2" xfId="49"/>
    <cellStyle name="Normal 2 2" xfId="76"/>
    <cellStyle name="Normal 2 3" xfId="100"/>
    <cellStyle name="Normal 3" xfId="1"/>
    <cellStyle name="Normal 6" xfId="101"/>
    <cellStyle name="Normal_rem0" xfId="50"/>
    <cellStyle name="Normal_RMC_0" xfId="102"/>
    <cellStyle name="Normal_RMC_0 2" xfId="77"/>
    <cellStyle name="Notas 2" xfId="52"/>
    <cellStyle name="Notas 2 2" xfId="79"/>
    <cellStyle name="Notas 3" xfId="51"/>
    <cellStyle name="Notas 4" xfId="78"/>
    <cellStyle name="Salida 2" xfId="53"/>
    <cellStyle name="Texto de advertencia 2" xfId="54"/>
    <cellStyle name="Texto explicativo 2" xfId="55"/>
    <cellStyle name="Título 1 2" xfId="57"/>
    <cellStyle name="Título 2 2" xfId="58"/>
    <cellStyle name="Título 3 2" xfId="59"/>
    <cellStyle name="Título 4" xfId="56"/>
    <cellStyle name="Total 2" xfId="6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EVALUACION%202014/FLORMULARIOS%20REM%20NUEVOS/SBS-14_V1.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OCTUBRE%202014/116108%20SBS-14_V1_4%20(1)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NOVIEMBRE%20%202014/16108%20SBS-14_V1_4%20(1)%20-%20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DICIEMBRE%202014/116108%20SBS-14_V1_4%20(1)%20-%202014%20-%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ERO/16108SBS-14_V1.1-2014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EBRERO/116108SBS-14_V1.2-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MARZO%202014/116108%20SBS-14_V1.2-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BRIL%202014/116108%20SBS-14_V1.3%20-%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JUNIO%202014/116108%20SBS-14_V1_4%20(1)-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JULIO%202014/116108%20SBS-14_V1_4%20(1)-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AGOSTO%202014/116108SBS-14_V1_4%20(1)-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SEPTIEMBRE%202014/116108SBS-14_V1_4%20(1)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7">
          <cell r="B7">
            <v>2014</v>
          </cell>
        </row>
        <row r="12">
          <cell r="A12" t="str">
            <v>Jefe de Estadisticas</v>
          </cell>
        </row>
      </sheetData>
      <sheetData sheetId="1"/>
      <sheetData sheetId="2">
        <row r="12">
          <cell r="D12">
            <v>0</v>
          </cell>
        </row>
        <row r="68">
          <cell r="G68">
            <v>0</v>
          </cell>
          <cell r="H68">
            <v>0</v>
          </cell>
        </row>
        <row r="69">
          <cell r="G69">
            <v>0</v>
          </cell>
          <cell r="H69">
            <v>0</v>
          </cell>
        </row>
        <row r="70">
          <cell r="G70">
            <v>0</v>
          </cell>
          <cell r="H70">
            <v>0</v>
          </cell>
        </row>
        <row r="71">
          <cell r="G71">
            <v>0</v>
          </cell>
          <cell r="H71">
            <v>0</v>
          </cell>
        </row>
        <row r="72">
          <cell r="G72">
            <v>0</v>
          </cell>
          <cell r="H72">
            <v>0</v>
          </cell>
        </row>
        <row r="73">
          <cell r="G73">
            <v>0</v>
          </cell>
          <cell r="H73">
            <v>0</v>
          </cell>
        </row>
        <row r="74">
          <cell r="G74">
            <v>0</v>
          </cell>
          <cell r="H74">
            <v>0</v>
          </cell>
        </row>
        <row r="75">
          <cell r="G75">
            <v>0</v>
          </cell>
          <cell r="H75">
            <v>0</v>
          </cell>
        </row>
        <row r="76">
          <cell r="G76">
            <v>0</v>
          </cell>
          <cell r="H76">
            <v>0</v>
          </cell>
        </row>
        <row r="77">
          <cell r="G77">
            <v>0</v>
          </cell>
          <cell r="H77">
            <v>0</v>
          </cell>
        </row>
        <row r="78">
          <cell r="G78">
            <v>0</v>
          </cell>
          <cell r="H78">
            <v>0</v>
          </cell>
        </row>
        <row r="79">
          <cell r="G79">
            <v>0</v>
          </cell>
          <cell r="H79">
            <v>0</v>
          </cell>
        </row>
        <row r="80">
          <cell r="G80">
            <v>0</v>
          </cell>
          <cell r="H80">
            <v>0</v>
          </cell>
        </row>
        <row r="81">
          <cell r="G81">
            <v>0</v>
          </cell>
          <cell r="H81">
            <v>0</v>
          </cell>
        </row>
        <row r="82">
          <cell r="G82">
            <v>0</v>
          </cell>
          <cell r="H82">
            <v>0</v>
          </cell>
        </row>
      </sheetData>
      <sheetData sheetId="3">
        <row r="13">
          <cell r="U13">
            <v>4050</v>
          </cell>
        </row>
        <row r="14">
          <cell r="U14">
            <v>5090</v>
          </cell>
        </row>
        <row r="15">
          <cell r="U15">
            <v>10920</v>
          </cell>
        </row>
        <row r="16">
          <cell r="U16">
            <v>6520</v>
          </cell>
        </row>
        <row r="17">
          <cell r="U17">
            <v>7160</v>
          </cell>
        </row>
        <row r="18">
          <cell r="U18">
            <v>13700</v>
          </cell>
        </row>
        <row r="19">
          <cell r="U19">
            <v>13700</v>
          </cell>
        </row>
        <row r="20">
          <cell r="U20">
            <v>5520</v>
          </cell>
        </row>
        <row r="21">
          <cell r="U21">
            <v>6620</v>
          </cell>
        </row>
        <row r="22">
          <cell r="U22">
            <v>8210</v>
          </cell>
        </row>
        <row r="23">
          <cell r="U23">
            <v>5520</v>
          </cell>
        </row>
        <row r="24">
          <cell r="U24">
            <v>6620</v>
          </cell>
        </row>
        <row r="25">
          <cell r="U25">
            <v>8210</v>
          </cell>
        </row>
        <row r="27">
          <cell r="U27">
            <v>1080</v>
          </cell>
        </row>
        <row r="28">
          <cell r="U28">
            <v>1840</v>
          </cell>
        </row>
        <row r="29">
          <cell r="U29">
            <v>590</v>
          </cell>
        </row>
        <row r="30">
          <cell r="U30">
            <v>1460</v>
          </cell>
        </row>
        <row r="31">
          <cell r="U31">
            <v>1170</v>
          </cell>
        </row>
        <row r="32">
          <cell r="U32">
            <v>1080</v>
          </cell>
        </row>
        <row r="34">
          <cell r="U34">
            <v>3530</v>
          </cell>
        </row>
        <row r="35">
          <cell r="U35">
            <v>1940</v>
          </cell>
        </row>
        <row r="36">
          <cell r="U36">
            <v>1940</v>
          </cell>
        </row>
        <row r="37">
          <cell r="U37">
            <v>590</v>
          </cell>
        </row>
        <row r="39">
          <cell r="U39">
            <v>1680</v>
          </cell>
        </row>
        <row r="40">
          <cell r="U40">
            <v>1680</v>
          </cell>
        </row>
        <row r="41">
          <cell r="U41">
            <v>970</v>
          </cell>
        </row>
        <row r="43">
          <cell r="U43">
            <v>740</v>
          </cell>
        </row>
        <row r="44">
          <cell r="U44">
            <v>100</v>
          </cell>
        </row>
        <row r="47">
          <cell r="U47">
            <v>1310</v>
          </cell>
        </row>
        <row r="48">
          <cell r="U48">
            <v>640</v>
          </cell>
        </row>
        <row r="49">
          <cell r="U49">
            <v>1940</v>
          </cell>
        </row>
        <row r="50">
          <cell r="U50">
            <v>14590</v>
          </cell>
        </row>
        <row r="51">
          <cell r="U51">
            <v>33500</v>
          </cell>
        </row>
        <row r="59">
          <cell r="U59">
            <v>32060</v>
          </cell>
        </row>
        <row r="60">
          <cell r="U60">
            <v>29510</v>
          </cell>
        </row>
        <row r="61">
          <cell r="U61">
            <v>24600</v>
          </cell>
        </row>
        <row r="62">
          <cell r="U62">
            <v>133290</v>
          </cell>
        </row>
        <row r="65">
          <cell r="U65">
            <v>64370</v>
          </cell>
        </row>
        <row r="68">
          <cell r="U68">
            <v>57760</v>
          </cell>
        </row>
        <row r="69">
          <cell r="U69">
            <v>16390</v>
          </cell>
        </row>
        <row r="70">
          <cell r="U70">
            <v>25680</v>
          </cell>
        </row>
        <row r="71">
          <cell r="U71">
            <v>26730</v>
          </cell>
        </row>
        <row r="72">
          <cell r="U72">
            <v>10780</v>
          </cell>
        </row>
        <row r="73">
          <cell r="U73">
            <v>25890</v>
          </cell>
        </row>
        <row r="74">
          <cell r="U74">
            <v>10780</v>
          </cell>
        </row>
        <row r="75">
          <cell r="U75">
            <v>4750</v>
          </cell>
        </row>
        <row r="76">
          <cell r="U76">
            <v>32060</v>
          </cell>
        </row>
        <row r="77">
          <cell r="U77">
            <v>86670</v>
          </cell>
        </row>
        <row r="78">
          <cell r="U78">
            <v>10230</v>
          </cell>
        </row>
        <row r="79">
          <cell r="U79">
            <v>6220</v>
          </cell>
        </row>
        <row r="80">
          <cell r="U80">
            <v>44930</v>
          </cell>
        </row>
        <row r="81">
          <cell r="U81">
            <v>7880</v>
          </cell>
        </row>
        <row r="795">
          <cell r="U795">
            <v>6700</v>
          </cell>
        </row>
        <row r="796">
          <cell r="U796">
            <v>2620</v>
          </cell>
        </row>
        <row r="797">
          <cell r="U797">
            <v>2620</v>
          </cell>
        </row>
        <row r="798">
          <cell r="U798">
            <v>10450</v>
          </cell>
        </row>
        <row r="799">
          <cell r="U799">
            <v>12230</v>
          </cell>
        </row>
        <row r="800">
          <cell r="U800">
            <v>27750</v>
          </cell>
        </row>
        <row r="801">
          <cell r="U801">
            <v>3450</v>
          </cell>
        </row>
        <row r="802">
          <cell r="U802">
            <v>8909</v>
          </cell>
        </row>
        <row r="805">
          <cell r="U805">
            <v>13840</v>
          </cell>
        </row>
        <row r="806">
          <cell r="U806">
            <v>11070</v>
          </cell>
        </row>
        <row r="807">
          <cell r="U807">
            <v>375680</v>
          </cell>
        </row>
        <row r="1036">
          <cell r="U1036">
            <v>8850</v>
          </cell>
        </row>
        <row r="1197">
          <cell r="U1197">
            <v>4740</v>
          </cell>
        </row>
        <row r="1198">
          <cell r="U1198">
            <v>13370</v>
          </cell>
        </row>
        <row r="1199">
          <cell r="U1199">
            <v>22670</v>
          </cell>
        </row>
        <row r="1200">
          <cell r="U1200">
            <v>43280</v>
          </cell>
        </row>
        <row r="1201">
          <cell r="U1201">
            <v>48240</v>
          </cell>
        </row>
        <row r="1202">
          <cell r="U1202">
            <v>27060</v>
          </cell>
        </row>
        <row r="1203">
          <cell r="U1203">
            <v>209350</v>
          </cell>
        </row>
        <row r="1204">
          <cell r="U1204">
            <v>238000</v>
          </cell>
        </row>
        <row r="1205">
          <cell r="U1205">
            <v>194080</v>
          </cell>
        </row>
        <row r="1206">
          <cell r="U1206">
            <v>249290</v>
          </cell>
        </row>
        <row r="1207">
          <cell r="U1207">
            <v>255080</v>
          </cell>
        </row>
        <row r="1208">
          <cell r="U1208">
            <v>215710</v>
          </cell>
        </row>
        <row r="1209">
          <cell r="U1209">
            <v>230250</v>
          </cell>
        </row>
        <row r="1210">
          <cell r="U1210">
            <v>275320</v>
          </cell>
        </row>
        <row r="1211">
          <cell r="U1211">
            <v>244150</v>
          </cell>
        </row>
        <row r="1212">
          <cell r="U1212">
            <v>1786710</v>
          </cell>
        </row>
        <row r="1213">
          <cell r="U1213">
            <v>1115980</v>
          </cell>
        </row>
        <row r="1214">
          <cell r="U1214">
            <v>1080140</v>
          </cell>
        </row>
        <row r="1215">
          <cell r="U1215">
            <v>1131580</v>
          </cell>
        </row>
        <row r="1216">
          <cell r="U1216">
            <v>160130</v>
          </cell>
        </row>
        <row r="1217">
          <cell r="U1217">
            <v>365410</v>
          </cell>
        </row>
        <row r="1218">
          <cell r="U1218">
            <v>135470</v>
          </cell>
        </row>
        <row r="1219">
          <cell r="U1219">
            <v>1097590</v>
          </cell>
        </row>
        <row r="1220">
          <cell r="U1220">
            <v>1097590</v>
          </cell>
        </row>
        <row r="1354">
          <cell r="U1354">
            <v>32740</v>
          </cell>
        </row>
        <row r="1355">
          <cell r="U1355">
            <v>39490</v>
          </cell>
        </row>
        <row r="1356">
          <cell r="U1356">
            <v>42060</v>
          </cell>
        </row>
        <row r="1481">
          <cell r="U1481">
            <v>40370</v>
          </cell>
        </row>
        <row r="1482">
          <cell r="U1482">
            <v>25390</v>
          </cell>
        </row>
        <row r="1483">
          <cell r="U1483">
            <v>26150</v>
          </cell>
        </row>
        <row r="1484">
          <cell r="U1484">
            <v>784500</v>
          </cell>
        </row>
        <row r="1485">
          <cell r="U1485">
            <v>356330</v>
          </cell>
        </row>
        <row r="1486">
          <cell r="U1486">
            <v>544860</v>
          </cell>
        </row>
        <row r="1487">
          <cell r="U1487">
            <v>49130</v>
          </cell>
        </row>
        <row r="1488">
          <cell r="U1488">
            <v>638670</v>
          </cell>
        </row>
        <row r="1636">
          <cell r="U1636">
            <v>125180</v>
          </cell>
        </row>
        <row r="1637">
          <cell r="U1637">
            <v>131720</v>
          </cell>
        </row>
        <row r="1845">
          <cell r="F1845">
            <v>0</v>
          </cell>
          <cell r="G1845">
            <v>0</v>
          </cell>
        </row>
        <row r="1861">
          <cell r="U1861">
            <v>27160</v>
          </cell>
        </row>
        <row r="1863">
          <cell r="U1863">
            <v>17890</v>
          </cell>
        </row>
        <row r="1864">
          <cell r="U1864">
            <v>56280</v>
          </cell>
        </row>
        <row r="1865">
          <cell r="U1865">
            <v>69770</v>
          </cell>
        </row>
        <row r="1866">
          <cell r="U1866">
            <v>2450</v>
          </cell>
        </row>
        <row r="1867">
          <cell r="U1867">
            <v>70</v>
          </cell>
        </row>
        <row r="1868">
          <cell r="U1868">
            <v>148120</v>
          </cell>
        </row>
        <row r="1869">
          <cell r="U1869">
            <v>10070</v>
          </cell>
        </row>
        <row r="1871">
          <cell r="V1871">
            <v>0</v>
          </cell>
        </row>
        <row r="1889">
          <cell r="V1889">
            <v>0</v>
          </cell>
        </row>
        <row r="1914">
          <cell r="V1914">
            <v>0</v>
          </cell>
        </row>
        <row r="1941">
          <cell r="U1941">
            <v>18750</v>
          </cell>
        </row>
        <row r="1942">
          <cell r="U1942">
            <v>235010</v>
          </cell>
        </row>
        <row r="1944">
          <cell r="U1944">
            <v>240030</v>
          </cell>
        </row>
        <row r="1945">
          <cell r="U1945">
            <v>34110</v>
          </cell>
        </row>
        <row r="1946">
          <cell r="U1946">
            <v>128660</v>
          </cell>
        </row>
        <row r="1947">
          <cell r="U1947">
            <v>128660</v>
          </cell>
        </row>
        <row r="1948">
          <cell r="U1948">
            <v>234230</v>
          </cell>
        </row>
        <row r="1949">
          <cell r="U1949">
            <v>359460</v>
          </cell>
        </row>
        <row r="1950">
          <cell r="U1950">
            <v>613210</v>
          </cell>
        </row>
        <row r="1951">
          <cell r="U1951">
            <v>127720</v>
          </cell>
        </row>
        <row r="1952">
          <cell r="U1952">
            <v>344230</v>
          </cell>
        </row>
        <row r="1953">
          <cell r="U1953">
            <v>144940</v>
          </cell>
        </row>
        <row r="1954">
          <cell r="U1954">
            <v>125950</v>
          </cell>
        </row>
        <row r="1955">
          <cell r="U1955">
            <v>191490</v>
          </cell>
        </row>
        <row r="1956">
          <cell r="U1956">
            <v>50390</v>
          </cell>
        </row>
        <row r="1957">
          <cell r="U1957">
            <v>37660</v>
          </cell>
        </row>
        <row r="1958">
          <cell r="U1958">
            <v>206500</v>
          </cell>
        </row>
        <row r="1959">
          <cell r="U1959">
            <v>1228440</v>
          </cell>
        </row>
        <row r="1960">
          <cell r="U1960">
            <v>185340</v>
          </cell>
        </row>
        <row r="1961">
          <cell r="U1961">
            <v>163900</v>
          </cell>
        </row>
        <row r="1962">
          <cell r="U1962">
            <v>332720</v>
          </cell>
        </row>
        <row r="1963">
          <cell r="U1963">
            <v>1106400</v>
          </cell>
        </row>
        <row r="1964">
          <cell r="U1964">
            <v>1137010</v>
          </cell>
        </row>
        <row r="1965">
          <cell r="U1965">
            <v>900260</v>
          </cell>
        </row>
        <row r="1966">
          <cell r="U1966">
            <v>948790</v>
          </cell>
        </row>
        <row r="1967">
          <cell r="U1967">
            <v>374290</v>
          </cell>
        </row>
        <row r="1968">
          <cell r="U1968">
            <v>89640</v>
          </cell>
        </row>
        <row r="1969">
          <cell r="U1969">
            <v>267430</v>
          </cell>
        </row>
        <row r="1970">
          <cell r="U1970">
            <v>75610</v>
          </cell>
        </row>
        <row r="1971">
          <cell r="U1971">
            <v>1299270</v>
          </cell>
        </row>
        <row r="1972">
          <cell r="U1972">
            <v>303800</v>
          </cell>
        </row>
        <row r="1973">
          <cell r="U1973">
            <v>1017740</v>
          </cell>
        </row>
        <row r="1974">
          <cell r="U1974">
            <v>623060</v>
          </cell>
        </row>
        <row r="1975">
          <cell r="U1975">
            <v>508460</v>
          </cell>
        </row>
        <row r="1976">
          <cell r="U1976">
            <v>274090</v>
          </cell>
        </row>
        <row r="1977">
          <cell r="U1977">
            <v>159800</v>
          </cell>
        </row>
        <row r="1978">
          <cell r="U1978">
            <v>386120</v>
          </cell>
        </row>
        <row r="1979">
          <cell r="U1979">
            <v>400140</v>
          </cell>
        </row>
        <row r="1980">
          <cell r="U1980">
            <v>250030</v>
          </cell>
        </row>
        <row r="1981">
          <cell r="U1981">
            <v>34000</v>
          </cell>
        </row>
        <row r="1983">
          <cell r="U1983">
            <v>6690</v>
          </cell>
        </row>
        <row r="1984">
          <cell r="U1984">
            <v>3560</v>
          </cell>
        </row>
        <row r="1985">
          <cell r="U1985">
            <v>13430</v>
          </cell>
        </row>
        <row r="1986">
          <cell r="U1986">
            <v>137660</v>
          </cell>
        </row>
        <row r="1987">
          <cell r="U1987">
            <v>756090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2014</v>
          </cell>
        </row>
        <row r="11">
          <cell r="B11" t="str">
            <v xml:space="preserve">DR. FRANCISCO MARTINEZ CAVALLA </v>
          </cell>
        </row>
        <row r="12">
          <cell r="A12" t="str">
            <v>Jefe de Estadisticas</v>
          </cell>
          <cell r="B12" t="str">
            <v xml:space="preserve">SRA. MARIA INES NUÑEZ GONZALEZ </v>
          </cell>
        </row>
      </sheetData>
      <sheetData sheetId="1"/>
      <sheetData sheetId="2">
        <row r="12">
          <cell r="D12">
            <v>64633</v>
          </cell>
        </row>
        <row r="13">
          <cell r="D13">
            <v>25641</v>
          </cell>
        </row>
        <row r="14">
          <cell r="D14">
            <v>26981</v>
          </cell>
        </row>
        <row r="15">
          <cell r="D15">
            <v>1251</v>
          </cell>
        </row>
        <row r="16">
          <cell r="D16">
            <v>0</v>
          </cell>
        </row>
        <row r="17">
          <cell r="D17">
            <v>1645</v>
          </cell>
        </row>
        <row r="18">
          <cell r="D18">
            <v>5808</v>
          </cell>
        </row>
        <row r="19">
          <cell r="D19">
            <v>4735</v>
          </cell>
        </row>
        <row r="20">
          <cell r="D20">
            <v>41</v>
          </cell>
        </row>
        <row r="21">
          <cell r="D21">
            <v>1032</v>
          </cell>
        </row>
        <row r="22">
          <cell r="D22">
            <v>0</v>
          </cell>
        </row>
        <row r="23">
          <cell r="D23">
            <v>79</v>
          </cell>
        </row>
        <row r="24">
          <cell r="D24">
            <v>3228</v>
          </cell>
        </row>
        <row r="25">
          <cell r="D25">
            <v>4984</v>
          </cell>
        </row>
        <row r="26">
          <cell r="D26">
            <v>3046</v>
          </cell>
        </row>
        <row r="27">
          <cell r="D27">
            <v>17</v>
          </cell>
        </row>
        <row r="28">
          <cell r="D28">
            <v>812</v>
          </cell>
        </row>
        <row r="30">
          <cell r="D30">
            <v>668</v>
          </cell>
        </row>
        <row r="31">
          <cell r="D31">
            <v>238</v>
          </cell>
        </row>
        <row r="32">
          <cell r="D32">
            <v>203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5</v>
          </cell>
          <cell r="G68">
            <v>0</v>
          </cell>
          <cell r="H68">
            <v>0</v>
          </cell>
        </row>
        <row r="69">
          <cell r="F69">
            <v>157</v>
          </cell>
          <cell r="G69">
            <v>0</v>
          </cell>
          <cell r="H69">
            <v>0</v>
          </cell>
        </row>
        <row r="70">
          <cell r="F70">
            <v>38</v>
          </cell>
          <cell r="G70">
            <v>3</v>
          </cell>
          <cell r="H70">
            <v>0</v>
          </cell>
        </row>
        <row r="71">
          <cell r="F71">
            <v>4</v>
          </cell>
          <cell r="G71">
            <v>0</v>
          </cell>
          <cell r="H71">
            <v>0</v>
          </cell>
        </row>
        <row r="72">
          <cell r="F72">
            <v>71</v>
          </cell>
          <cell r="G72">
            <v>2</v>
          </cell>
          <cell r="H72">
            <v>0</v>
          </cell>
        </row>
        <row r="73">
          <cell r="F73">
            <v>109</v>
          </cell>
          <cell r="G73">
            <v>5</v>
          </cell>
          <cell r="H73">
            <v>0</v>
          </cell>
        </row>
        <row r="74">
          <cell r="F74">
            <v>6</v>
          </cell>
          <cell r="G74">
            <v>2</v>
          </cell>
          <cell r="H74">
            <v>0</v>
          </cell>
        </row>
        <row r="75">
          <cell r="F75">
            <v>5</v>
          </cell>
          <cell r="G75">
            <v>0</v>
          </cell>
          <cell r="H75">
            <v>0</v>
          </cell>
        </row>
        <row r="76">
          <cell r="F76">
            <v>184</v>
          </cell>
          <cell r="G76">
            <v>20</v>
          </cell>
          <cell r="H76">
            <v>0</v>
          </cell>
        </row>
        <row r="77">
          <cell r="F77">
            <v>12</v>
          </cell>
          <cell r="G77">
            <v>0</v>
          </cell>
          <cell r="H77">
            <v>0</v>
          </cell>
        </row>
        <row r="78">
          <cell r="F78">
            <v>46</v>
          </cell>
          <cell r="G78">
            <v>3</v>
          </cell>
          <cell r="H78">
            <v>0</v>
          </cell>
        </row>
        <row r="79">
          <cell r="F79">
            <v>7</v>
          </cell>
          <cell r="G79">
            <v>1</v>
          </cell>
          <cell r="H79">
            <v>0</v>
          </cell>
        </row>
        <row r="80">
          <cell r="F80">
            <v>51</v>
          </cell>
          <cell r="G80">
            <v>6</v>
          </cell>
          <cell r="H80">
            <v>0</v>
          </cell>
        </row>
        <row r="81">
          <cell r="F81">
            <v>63</v>
          </cell>
          <cell r="G81">
            <v>1</v>
          </cell>
          <cell r="H81">
            <v>0</v>
          </cell>
        </row>
        <row r="82">
          <cell r="F82">
            <v>54</v>
          </cell>
          <cell r="G82">
            <v>0</v>
          </cell>
          <cell r="H82">
            <v>0</v>
          </cell>
        </row>
        <row r="130">
          <cell r="E130">
            <v>1120</v>
          </cell>
        </row>
      </sheetData>
      <sheetData sheetId="3">
        <row r="13">
          <cell r="U13">
            <v>4170</v>
          </cell>
          <cell r="V13">
            <v>0</v>
          </cell>
        </row>
        <row r="14">
          <cell r="U14">
            <v>5240</v>
          </cell>
          <cell r="V14">
            <v>0</v>
          </cell>
        </row>
        <row r="15">
          <cell r="D15">
            <v>6542</v>
          </cell>
          <cell r="U15">
            <v>11250</v>
          </cell>
          <cell r="V15">
            <v>73597500</v>
          </cell>
        </row>
        <row r="16">
          <cell r="U16">
            <v>6720</v>
          </cell>
          <cell r="V16">
            <v>0</v>
          </cell>
        </row>
        <row r="17">
          <cell r="U17">
            <v>7370</v>
          </cell>
          <cell r="V17">
            <v>0</v>
          </cell>
        </row>
        <row r="18">
          <cell r="U18">
            <v>14110</v>
          </cell>
          <cell r="V18">
            <v>0</v>
          </cell>
        </row>
        <row r="19">
          <cell r="D19">
            <v>60</v>
          </cell>
          <cell r="U19">
            <v>14110</v>
          </cell>
          <cell r="V19">
            <v>846600</v>
          </cell>
        </row>
        <row r="20">
          <cell r="U20">
            <v>5690</v>
          </cell>
          <cell r="V20">
            <v>0</v>
          </cell>
        </row>
        <row r="21">
          <cell r="U21">
            <v>6820</v>
          </cell>
          <cell r="V21">
            <v>0</v>
          </cell>
        </row>
        <row r="22">
          <cell r="U22">
            <v>8460</v>
          </cell>
          <cell r="V22">
            <v>0</v>
          </cell>
        </row>
        <row r="23">
          <cell r="D23">
            <v>2558</v>
          </cell>
          <cell r="U23">
            <v>5690</v>
          </cell>
          <cell r="V23">
            <v>14555020</v>
          </cell>
        </row>
        <row r="24">
          <cell r="D24">
            <v>1501</v>
          </cell>
          <cell r="U24">
            <v>6820</v>
          </cell>
          <cell r="V24">
            <v>10236820</v>
          </cell>
        </row>
        <row r="25">
          <cell r="D25">
            <v>2454</v>
          </cell>
          <cell r="U25">
            <v>8460</v>
          </cell>
          <cell r="V25">
            <v>20760840</v>
          </cell>
        </row>
        <row r="27">
          <cell r="D27">
            <v>1758</v>
          </cell>
          <cell r="U27">
            <v>1110</v>
          </cell>
          <cell r="V27">
            <v>1951380</v>
          </cell>
        </row>
        <row r="28">
          <cell r="U28">
            <v>1900</v>
          </cell>
          <cell r="V28">
            <v>0</v>
          </cell>
        </row>
        <row r="29">
          <cell r="U29">
            <v>610</v>
          </cell>
          <cell r="V29">
            <v>0</v>
          </cell>
        </row>
        <row r="30">
          <cell r="D30">
            <v>93</v>
          </cell>
          <cell r="U30">
            <v>1500</v>
          </cell>
          <cell r="V30">
            <v>139500</v>
          </cell>
        </row>
        <row r="31">
          <cell r="D31">
            <v>1239</v>
          </cell>
          <cell r="U31">
            <v>1210</v>
          </cell>
          <cell r="V31">
            <v>1499190</v>
          </cell>
        </row>
        <row r="32">
          <cell r="U32">
            <v>1110</v>
          </cell>
          <cell r="V32">
            <v>0</v>
          </cell>
        </row>
        <row r="34">
          <cell r="D34">
            <v>62</v>
          </cell>
          <cell r="U34">
            <v>3640</v>
          </cell>
          <cell r="V34">
            <v>225680</v>
          </cell>
        </row>
        <row r="35">
          <cell r="D35">
            <v>712</v>
          </cell>
          <cell r="U35">
            <v>2000</v>
          </cell>
          <cell r="V35">
            <v>1424000</v>
          </cell>
        </row>
        <row r="36">
          <cell r="D36">
            <v>1</v>
          </cell>
          <cell r="U36">
            <v>2000</v>
          </cell>
          <cell r="V36">
            <v>2000</v>
          </cell>
        </row>
        <row r="37">
          <cell r="D37">
            <v>709</v>
          </cell>
          <cell r="U37">
            <v>610</v>
          </cell>
          <cell r="V37">
            <v>432490</v>
          </cell>
        </row>
        <row r="39">
          <cell r="D39">
            <v>9</v>
          </cell>
          <cell r="U39">
            <v>1730</v>
          </cell>
          <cell r="V39">
            <v>15570</v>
          </cell>
        </row>
        <row r="40">
          <cell r="D40">
            <v>19</v>
          </cell>
          <cell r="U40">
            <v>1730</v>
          </cell>
          <cell r="V40">
            <v>32870</v>
          </cell>
        </row>
        <row r="41">
          <cell r="U41">
            <v>1000</v>
          </cell>
          <cell r="V41">
            <v>0</v>
          </cell>
        </row>
        <row r="43">
          <cell r="D43">
            <v>305</v>
          </cell>
          <cell r="U43">
            <v>760</v>
          </cell>
          <cell r="V43">
            <v>231800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1350</v>
          </cell>
          <cell r="V47">
            <v>0</v>
          </cell>
        </row>
        <row r="48">
          <cell r="D48">
            <v>527</v>
          </cell>
          <cell r="U48">
            <v>660</v>
          </cell>
          <cell r="V48">
            <v>347820</v>
          </cell>
        </row>
        <row r="49">
          <cell r="D49">
            <v>542</v>
          </cell>
          <cell r="U49">
            <v>2000</v>
          </cell>
          <cell r="V49">
            <v>1084000</v>
          </cell>
        </row>
        <row r="50">
          <cell r="D50">
            <v>56</v>
          </cell>
          <cell r="U50">
            <v>15030</v>
          </cell>
          <cell r="V50">
            <v>841680</v>
          </cell>
        </row>
        <row r="51">
          <cell r="D51">
            <v>110</v>
          </cell>
          <cell r="U51">
            <v>34510</v>
          </cell>
          <cell r="V51">
            <v>3796100</v>
          </cell>
        </row>
        <row r="52">
          <cell r="D52">
            <v>32</v>
          </cell>
          <cell r="V52">
            <v>275520</v>
          </cell>
        </row>
        <row r="59">
          <cell r="D59">
            <v>5958</v>
          </cell>
          <cell r="U59">
            <v>33020</v>
          </cell>
          <cell r="V59">
            <v>196733160</v>
          </cell>
        </row>
        <row r="60">
          <cell r="U60">
            <v>30400</v>
          </cell>
          <cell r="V60">
            <v>0</v>
          </cell>
        </row>
        <row r="61">
          <cell r="U61">
            <v>25340</v>
          </cell>
          <cell r="V61">
            <v>0</v>
          </cell>
        </row>
        <row r="62">
          <cell r="D62">
            <v>169</v>
          </cell>
          <cell r="U62">
            <v>137290</v>
          </cell>
          <cell r="V62">
            <v>23202010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327</v>
          </cell>
          <cell r="U65">
            <v>66300</v>
          </cell>
          <cell r="V65">
            <v>21680100</v>
          </cell>
        </row>
        <row r="66">
          <cell r="D66">
            <v>142</v>
          </cell>
          <cell r="V66">
            <v>9414600</v>
          </cell>
        </row>
        <row r="67">
          <cell r="V67">
            <v>0</v>
          </cell>
        </row>
        <row r="68">
          <cell r="D68">
            <v>172</v>
          </cell>
          <cell r="U68">
            <v>59490</v>
          </cell>
          <cell r="V68">
            <v>10232280</v>
          </cell>
        </row>
        <row r="69">
          <cell r="U69">
            <v>16880</v>
          </cell>
          <cell r="V69">
            <v>0</v>
          </cell>
        </row>
        <row r="70">
          <cell r="U70">
            <v>26450</v>
          </cell>
          <cell r="V70">
            <v>0</v>
          </cell>
        </row>
        <row r="71">
          <cell r="U71">
            <v>27530</v>
          </cell>
          <cell r="V71">
            <v>0</v>
          </cell>
        </row>
        <row r="72">
          <cell r="U72">
            <v>11100</v>
          </cell>
          <cell r="V72">
            <v>0</v>
          </cell>
        </row>
        <row r="73">
          <cell r="U73">
            <v>26670</v>
          </cell>
          <cell r="V73">
            <v>0</v>
          </cell>
        </row>
        <row r="74">
          <cell r="U74">
            <v>11100</v>
          </cell>
          <cell r="V74">
            <v>0</v>
          </cell>
        </row>
        <row r="75">
          <cell r="D75">
            <v>2</v>
          </cell>
          <cell r="U75">
            <v>4890</v>
          </cell>
          <cell r="V75">
            <v>9780</v>
          </cell>
        </row>
        <row r="76">
          <cell r="U76">
            <v>33020</v>
          </cell>
          <cell r="V76">
            <v>0</v>
          </cell>
        </row>
        <row r="77">
          <cell r="U77">
            <v>89270</v>
          </cell>
          <cell r="V77">
            <v>0</v>
          </cell>
        </row>
        <row r="78">
          <cell r="U78">
            <v>10540</v>
          </cell>
          <cell r="V78">
            <v>0</v>
          </cell>
        </row>
        <row r="79">
          <cell r="D79">
            <v>44</v>
          </cell>
          <cell r="U79">
            <v>6410</v>
          </cell>
          <cell r="V79">
            <v>282040</v>
          </cell>
        </row>
        <row r="80">
          <cell r="U80">
            <v>46280</v>
          </cell>
          <cell r="V80">
            <v>0</v>
          </cell>
        </row>
        <row r="81">
          <cell r="U81">
            <v>8120</v>
          </cell>
          <cell r="V81">
            <v>0</v>
          </cell>
        </row>
        <row r="83">
          <cell r="V83">
            <v>26187130</v>
          </cell>
        </row>
        <row r="174">
          <cell r="V174">
            <v>31825630</v>
          </cell>
        </row>
        <row r="243">
          <cell r="V243">
            <v>4377690</v>
          </cell>
        </row>
        <row r="289">
          <cell r="V289">
            <v>0</v>
          </cell>
        </row>
        <row r="295">
          <cell r="V295">
            <v>7765740</v>
          </cell>
        </row>
        <row r="362">
          <cell r="V362">
            <v>10812410</v>
          </cell>
        </row>
        <row r="405">
          <cell r="V405">
            <v>114720</v>
          </cell>
        </row>
        <row r="428">
          <cell r="V428">
            <v>4194830</v>
          </cell>
        </row>
        <row r="446">
          <cell r="V446">
            <v>0</v>
          </cell>
        </row>
        <row r="456">
          <cell r="V456">
            <v>151440</v>
          </cell>
        </row>
        <row r="500">
          <cell r="V500">
            <v>4135750</v>
          </cell>
        </row>
        <row r="535">
          <cell r="V535">
            <v>24174670</v>
          </cell>
        </row>
        <row r="590">
          <cell r="V590">
            <v>623780</v>
          </cell>
        </row>
        <row r="615">
          <cell r="V615">
            <v>41036550</v>
          </cell>
        </row>
        <row r="633">
          <cell r="V633">
            <v>13644600</v>
          </cell>
        </row>
        <row r="634">
          <cell r="V634">
            <v>1211420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585</v>
          </cell>
          <cell r="V768">
            <v>4897750</v>
          </cell>
        </row>
        <row r="783">
          <cell r="V783">
            <v>0</v>
          </cell>
        </row>
        <row r="795">
          <cell r="D795">
            <v>209</v>
          </cell>
          <cell r="U795">
            <v>6900</v>
          </cell>
          <cell r="V795">
            <v>1442100</v>
          </cell>
        </row>
        <row r="796">
          <cell r="D796">
            <v>236</v>
          </cell>
          <cell r="U796">
            <v>2700</v>
          </cell>
          <cell r="V796">
            <v>637200</v>
          </cell>
        </row>
        <row r="797">
          <cell r="D797">
            <v>388</v>
          </cell>
          <cell r="U797">
            <v>2700</v>
          </cell>
          <cell r="V797">
            <v>1047600</v>
          </cell>
        </row>
        <row r="798">
          <cell r="D798">
            <v>5</v>
          </cell>
          <cell r="U798">
            <v>10760</v>
          </cell>
          <cell r="V798">
            <v>53800</v>
          </cell>
        </row>
        <row r="799">
          <cell r="D799">
            <v>37</v>
          </cell>
          <cell r="U799">
            <v>12600</v>
          </cell>
          <cell r="V799">
            <v>466200</v>
          </cell>
        </row>
        <row r="800">
          <cell r="U800">
            <v>28580</v>
          </cell>
          <cell r="V800">
            <v>0</v>
          </cell>
        </row>
        <row r="801">
          <cell r="U801">
            <v>3550</v>
          </cell>
          <cell r="V801">
            <v>0</v>
          </cell>
        </row>
        <row r="802">
          <cell r="U802">
            <v>9180</v>
          </cell>
          <cell r="V802">
            <v>0</v>
          </cell>
        </row>
        <row r="805">
          <cell r="D805">
            <v>8</v>
          </cell>
          <cell r="U805">
            <v>14260</v>
          </cell>
          <cell r="V805">
            <v>114080</v>
          </cell>
        </row>
        <row r="806">
          <cell r="U806">
            <v>11400</v>
          </cell>
          <cell r="V806">
            <v>0</v>
          </cell>
        </row>
        <row r="807">
          <cell r="U807">
            <v>386950</v>
          </cell>
          <cell r="V807">
            <v>0</v>
          </cell>
        </row>
        <row r="811">
          <cell r="V811">
            <v>747100</v>
          </cell>
        </row>
        <row r="882">
          <cell r="V882">
            <v>35001460</v>
          </cell>
        </row>
        <row r="961">
          <cell r="V961">
            <v>4229355</v>
          </cell>
        </row>
        <row r="1036">
          <cell r="U1036">
            <v>9120</v>
          </cell>
          <cell r="V1036">
            <v>0</v>
          </cell>
        </row>
        <row r="1037">
          <cell r="V1037">
            <v>323100</v>
          </cell>
        </row>
        <row r="1098">
          <cell r="V1098">
            <v>4093590</v>
          </cell>
        </row>
        <row r="1166">
          <cell r="V1166">
            <v>2327810</v>
          </cell>
        </row>
        <row r="1197">
          <cell r="D1197">
            <v>257</v>
          </cell>
          <cell r="U1197">
            <v>4880</v>
          </cell>
          <cell r="V1197">
            <v>1254160</v>
          </cell>
        </row>
        <row r="1198">
          <cell r="D1198">
            <v>14</v>
          </cell>
          <cell r="U1198">
            <v>13770</v>
          </cell>
          <cell r="V1198">
            <v>192780</v>
          </cell>
        </row>
        <row r="1199">
          <cell r="D1199">
            <v>41</v>
          </cell>
          <cell r="U1199">
            <v>23350</v>
          </cell>
          <cell r="V1199">
            <v>957350</v>
          </cell>
        </row>
        <row r="1200">
          <cell r="U1200">
            <v>44580</v>
          </cell>
          <cell r="V1200">
            <v>0</v>
          </cell>
        </row>
        <row r="1201">
          <cell r="D1201">
            <v>193</v>
          </cell>
          <cell r="U1201">
            <v>49690</v>
          </cell>
          <cell r="V1201">
            <v>9590170</v>
          </cell>
        </row>
        <row r="1202">
          <cell r="U1202">
            <v>27870</v>
          </cell>
          <cell r="V1202">
            <v>0</v>
          </cell>
        </row>
        <row r="1203">
          <cell r="U1203">
            <v>215630</v>
          </cell>
          <cell r="V1203">
            <v>0</v>
          </cell>
        </row>
        <row r="1204">
          <cell r="U1204">
            <v>245140</v>
          </cell>
          <cell r="V1204">
            <v>0</v>
          </cell>
        </row>
        <row r="1205">
          <cell r="U1205">
            <v>199900</v>
          </cell>
          <cell r="V1205">
            <v>0</v>
          </cell>
        </row>
        <row r="1206">
          <cell r="U1206">
            <v>256770</v>
          </cell>
          <cell r="V1206">
            <v>0</v>
          </cell>
        </row>
        <row r="1207">
          <cell r="U1207">
            <v>262730</v>
          </cell>
          <cell r="V1207">
            <v>0</v>
          </cell>
        </row>
        <row r="1208">
          <cell r="U1208">
            <v>222180</v>
          </cell>
          <cell r="V1208">
            <v>0</v>
          </cell>
        </row>
        <row r="1209">
          <cell r="U1209">
            <v>237160</v>
          </cell>
          <cell r="V1209">
            <v>0</v>
          </cell>
        </row>
        <row r="1210">
          <cell r="U1210">
            <v>283580</v>
          </cell>
          <cell r="V1210">
            <v>0</v>
          </cell>
        </row>
        <row r="1211">
          <cell r="U1211">
            <v>251470</v>
          </cell>
          <cell r="V1211">
            <v>0</v>
          </cell>
        </row>
        <row r="1212">
          <cell r="U1212">
            <v>1840310</v>
          </cell>
          <cell r="V1212">
            <v>0</v>
          </cell>
        </row>
        <row r="1213">
          <cell r="U1213">
            <v>1149460</v>
          </cell>
          <cell r="V1213">
            <v>0</v>
          </cell>
        </row>
        <row r="1214">
          <cell r="U1214">
            <v>1112540</v>
          </cell>
          <cell r="V1214">
            <v>0</v>
          </cell>
        </row>
        <row r="1215">
          <cell r="U1215">
            <v>1165530</v>
          </cell>
          <cell r="V1215">
            <v>0</v>
          </cell>
        </row>
        <row r="1216">
          <cell r="U1216">
            <v>164930</v>
          </cell>
          <cell r="V1216">
            <v>0</v>
          </cell>
        </row>
        <row r="1217">
          <cell r="U1217">
            <v>376370</v>
          </cell>
          <cell r="V1217">
            <v>0</v>
          </cell>
        </row>
        <row r="1218">
          <cell r="U1218">
            <v>139530</v>
          </cell>
          <cell r="V1218">
            <v>0</v>
          </cell>
        </row>
        <row r="1219">
          <cell r="U1219">
            <v>1130520</v>
          </cell>
          <cell r="V1219">
            <v>0</v>
          </cell>
        </row>
        <row r="1220">
          <cell r="U1220">
            <v>1130520</v>
          </cell>
          <cell r="V1220">
            <v>0</v>
          </cell>
        </row>
        <row r="1221">
          <cell r="V1221">
            <v>1063330</v>
          </cell>
        </row>
        <row r="1287">
          <cell r="V1287">
            <v>447640</v>
          </cell>
        </row>
        <row r="1354">
          <cell r="D1354">
            <v>60</v>
          </cell>
          <cell r="U1354">
            <v>33720</v>
          </cell>
          <cell r="V1354">
            <v>2023200</v>
          </cell>
        </row>
        <row r="1355">
          <cell r="U1355">
            <v>40670</v>
          </cell>
          <cell r="V1355">
            <v>0</v>
          </cell>
        </row>
        <row r="1356">
          <cell r="D1356">
            <v>9</v>
          </cell>
          <cell r="U1356">
            <v>43320</v>
          </cell>
          <cell r="V1356">
            <v>389880</v>
          </cell>
        </row>
        <row r="1357">
          <cell r="V1357">
            <v>44001225</v>
          </cell>
        </row>
        <row r="1441">
          <cell r="V1441">
            <v>1307260</v>
          </cell>
        </row>
        <row r="1481">
          <cell r="U1481">
            <v>41580</v>
          </cell>
          <cell r="V1481">
            <v>0</v>
          </cell>
        </row>
        <row r="1482">
          <cell r="U1482">
            <v>26150</v>
          </cell>
          <cell r="V1482">
            <v>0</v>
          </cell>
        </row>
        <row r="1483">
          <cell r="U1483">
            <v>26930</v>
          </cell>
          <cell r="V1483">
            <v>0</v>
          </cell>
        </row>
        <row r="1484">
          <cell r="U1484">
            <v>808040</v>
          </cell>
          <cell r="V1484">
            <v>0</v>
          </cell>
        </row>
        <row r="1485">
          <cell r="U1485">
            <v>367020</v>
          </cell>
          <cell r="V1485">
            <v>0</v>
          </cell>
        </row>
        <row r="1486">
          <cell r="U1486">
            <v>561210</v>
          </cell>
          <cell r="V1486">
            <v>0</v>
          </cell>
        </row>
        <row r="1487">
          <cell r="U1487">
            <v>50600</v>
          </cell>
          <cell r="V1487">
            <v>0</v>
          </cell>
        </row>
        <row r="1488">
          <cell r="U1488">
            <v>657830</v>
          </cell>
          <cell r="V1488">
            <v>0</v>
          </cell>
        </row>
        <row r="1489">
          <cell r="V1489">
            <v>8189875</v>
          </cell>
        </row>
        <row r="1574">
          <cell r="V1574">
            <v>9959180</v>
          </cell>
        </row>
        <row r="1592">
          <cell r="V1592">
            <v>1411265</v>
          </cell>
        </row>
        <row r="1597">
          <cell r="V1597">
            <v>9171675</v>
          </cell>
        </row>
        <row r="1631">
          <cell r="V1631">
            <v>7700385</v>
          </cell>
        </row>
        <row r="1632">
          <cell r="V1632">
            <v>0</v>
          </cell>
        </row>
        <row r="1633">
          <cell r="D1633">
            <v>15</v>
          </cell>
          <cell r="F1633">
            <v>1</v>
          </cell>
          <cell r="V1633">
            <v>1510785</v>
          </cell>
        </row>
        <row r="1634">
          <cell r="D1634">
            <v>48</v>
          </cell>
          <cell r="V1634">
            <v>6189600</v>
          </cell>
        </row>
        <row r="1635">
          <cell r="V1635">
            <v>0</v>
          </cell>
        </row>
        <row r="1636">
          <cell r="D1636">
            <v>83</v>
          </cell>
          <cell r="U1636">
            <v>128940</v>
          </cell>
          <cell r="V1636">
            <v>10702020</v>
          </cell>
        </row>
        <row r="1637">
          <cell r="D1637">
            <v>4</v>
          </cell>
          <cell r="U1637">
            <v>135670</v>
          </cell>
          <cell r="V1637">
            <v>542680</v>
          </cell>
        </row>
        <row r="1639">
          <cell r="V1639">
            <v>11658480</v>
          </cell>
        </row>
        <row r="1845">
          <cell r="D1845">
            <v>13</v>
          </cell>
          <cell r="F1845">
            <v>0</v>
          </cell>
          <cell r="G1845">
            <v>0</v>
          </cell>
          <cell r="V1845">
            <v>754840</v>
          </cell>
        </row>
        <row r="1849">
          <cell r="D1849">
            <v>41</v>
          </cell>
          <cell r="V1849">
            <v>2385480</v>
          </cell>
        </row>
        <row r="1861">
          <cell r="D1861">
            <v>39</v>
          </cell>
          <cell r="U1861">
            <v>27970</v>
          </cell>
          <cell r="V1861">
            <v>1090830</v>
          </cell>
        </row>
        <row r="1863">
          <cell r="D1863">
            <v>232</v>
          </cell>
          <cell r="U1863">
            <v>18430</v>
          </cell>
          <cell r="V1863">
            <v>4275760</v>
          </cell>
        </row>
        <row r="1864">
          <cell r="D1864">
            <v>205</v>
          </cell>
          <cell r="U1864">
            <v>57970</v>
          </cell>
          <cell r="V1864">
            <v>11883850</v>
          </cell>
        </row>
        <row r="1865">
          <cell r="U1865">
            <v>71860</v>
          </cell>
          <cell r="V1865">
            <v>0</v>
          </cell>
        </row>
        <row r="1866">
          <cell r="D1866">
            <v>146</v>
          </cell>
          <cell r="U1866">
            <v>2520</v>
          </cell>
          <cell r="V1866">
            <v>367920</v>
          </cell>
        </row>
        <row r="1867">
          <cell r="U1867">
            <v>70</v>
          </cell>
          <cell r="V1867">
            <v>0</v>
          </cell>
        </row>
        <row r="1868">
          <cell r="U1868">
            <v>152560</v>
          </cell>
          <cell r="V1868">
            <v>0</v>
          </cell>
        </row>
        <row r="1869">
          <cell r="U1869">
            <v>10370</v>
          </cell>
          <cell r="V1869">
            <v>0</v>
          </cell>
        </row>
        <row r="1871">
          <cell r="V1871">
            <v>4381500</v>
          </cell>
        </row>
        <row r="1889">
          <cell r="V1889">
            <v>5224350</v>
          </cell>
        </row>
        <row r="1914">
          <cell r="V1914">
            <v>3285380</v>
          </cell>
        </row>
        <row r="1941">
          <cell r="D1941">
            <v>228</v>
          </cell>
          <cell r="U1941">
            <v>19310</v>
          </cell>
          <cell r="V1941">
            <v>4402680</v>
          </cell>
        </row>
        <row r="1942">
          <cell r="U1942">
            <v>242060</v>
          </cell>
          <cell r="V1942">
            <v>0</v>
          </cell>
        </row>
        <row r="1944">
          <cell r="U1944">
            <v>247230</v>
          </cell>
          <cell r="V1944">
            <v>0</v>
          </cell>
        </row>
        <row r="1945">
          <cell r="U1945">
            <v>35130</v>
          </cell>
          <cell r="V1945">
            <v>0</v>
          </cell>
        </row>
        <row r="1946">
          <cell r="U1946">
            <v>132520</v>
          </cell>
          <cell r="V1946">
            <v>0</v>
          </cell>
        </row>
        <row r="1947">
          <cell r="U1947">
            <v>132520</v>
          </cell>
          <cell r="V1947">
            <v>0</v>
          </cell>
        </row>
        <row r="1948">
          <cell r="U1948">
            <v>241260</v>
          </cell>
          <cell r="V1948">
            <v>0</v>
          </cell>
        </row>
        <row r="1949">
          <cell r="U1949">
            <v>370240</v>
          </cell>
          <cell r="V1949">
            <v>0</v>
          </cell>
        </row>
        <row r="1950">
          <cell r="U1950">
            <v>631610</v>
          </cell>
          <cell r="V1950">
            <v>0</v>
          </cell>
        </row>
        <row r="1951">
          <cell r="U1951">
            <v>131550</v>
          </cell>
          <cell r="V1951">
            <v>0</v>
          </cell>
        </row>
        <row r="1952">
          <cell r="U1952">
            <v>354560</v>
          </cell>
          <cell r="V1952">
            <v>0</v>
          </cell>
        </row>
        <row r="1953">
          <cell r="U1953">
            <v>149290</v>
          </cell>
          <cell r="V1953">
            <v>0</v>
          </cell>
        </row>
        <row r="1954">
          <cell r="U1954">
            <v>129730</v>
          </cell>
          <cell r="V1954">
            <v>0</v>
          </cell>
        </row>
        <row r="1955">
          <cell r="U1955">
            <v>197230</v>
          </cell>
          <cell r="V1955">
            <v>0</v>
          </cell>
        </row>
        <row r="1956">
          <cell r="U1956">
            <v>51900</v>
          </cell>
          <cell r="V1956">
            <v>0</v>
          </cell>
        </row>
        <row r="1957">
          <cell r="U1957">
            <v>38790</v>
          </cell>
          <cell r="V1957">
            <v>0</v>
          </cell>
        </row>
        <row r="1958">
          <cell r="U1958">
            <v>212700</v>
          </cell>
          <cell r="V1958">
            <v>0</v>
          </cell>
        </row>
        <row r="1959">
          <cell r="U1959">
            <v>1265290</v>
          </cell>
          <cell r="V1959">
            <v>0</v>
          </cell>
        </row>
        <row r="1960">
          <cell r="U1960">
            <v>190900</v>
          </cell>
          <cell r="V1960">
            <v>0</v>
          </cell>
        </row>
        <row r="1961">
          <cell r="U1961">
            <v>168820</v>
          </cell>
          <cell r="V1961">
            <v>0</v>
          </cell>
        </row>
        <row r="1962">
          <cell r="U1962">
            <v>342700</v>
          </cell>
          <cell r="V1962">
            <v>0</v>
          </cell>
        </row>
        <row r="1963">
          <cell r="U1963">
            <v>1139590</v>
          </cell>
          <cell r="V1963">
            <v>0</v>
          </cell>
        </row>
        <row r="1964">
          <cell r="U1964">
            <v>1171120</v>
          </cell>
          <cell r="V1964">
            <v>0</v>
          </cell>
        </row>
        <row r="1965">
          <cell r="U1965">
            <v>927270</v>
          </cell>
          <cell r="V1965">
            <v>0</v>
          </cell>
        </row>
        <row r="1966">
          <cell r="U1966">
            <v>977250</v>
          </cell>
          <cell r="V1966">
            <v>0</v>
          </cell>
        </row>
        <row r="1967">
          <cell r="U1967">
            <v>385520</v>
          </cell>
          <cell r="V1967">
            <v>0</v>
          </cell>
        </row>
        <row r="1968">
          <cell r="U1968">
            <v>92330</v>
          </cell>
          <cell r="V1968">
            <v>0</v>
          </cell>
        </row>
        <row r="1969">
          <cell r="U1969">
            <v>275450</v>
          </cell>
          <cell r="V1969">
            <v>0</v>
          </cell>
        </row>
        <row r="1970">
          <cell r="U1970">
            <v>77880</v>
          </cell>
          <cell r="V1970">
            <v>0</v>
          </cell>
        </row>
        <row r="1971">
          <cell r="U1971">
            <v>1338250</v>
          </cell>
          <cell r="V1971">
            <v>0</v>
          </cell>
        </row>
        <row r="1972">
          <cell r="U1972">
            <v>312910</v>
          </cell>
          <cell r="V1972">
            <v>0</v>
          </cell>
        </row>
        <row r="1973">
          <cell r="U1973">
            <v>1048270</v>
          </cell>
          <cell r="V1973">
            <v>0</v>
          </cell>
        </row>
        <row r="1974">
          <cell r="U1974">
            <v>641750</v>
          </cell>
          <cell r="V1974">
            <v>0</v>
          </cell>
        </row>
        <row r="1975">
          <cell r="U1975">
            <v>523710</v>
          </cell>
          <cell r="V1975">
            <v>0</v>
          </cell>
        </row>
        <row r="1976">
          <cell r="U1976">
            <v>282310</v>
          </cell>
          <cell r="V1976">
            <v>0</v>
          </cell>
        </row>
        <row r="1977">
          <cell r="U1977">
            <v>164590</v>
          </cell>
          <cell r="V1977">
            <v>0</v>
          </cell>
        </row>
        <row r="1978">
          <cell r="U1978">
            <v>397700</v>
          </cell>
          <cell r="V1978">
            <v>0</v>
          </cell>
        </row>
        <row r="1979">
          <cell r="U1979">
            <v>412140</v>
          </cell>
          <cell r="V1979">
            <v>0</v>
          </cell>
        </row>
        <row r="1980">
          <cell r="U1980">
            <v>257530</v>
          </cell>
          <cell r="V1980">
            <v>0</v>
          </cell>
        </row>
        <row r="1981">
          <cell r="D1981">
            <v>109</v>
          </cell>
          <cell r="U1981">
            <v>35020</v>
          </cell>
          <cell r="V1981">
            <v>3817180</v>
          </cell>
        </row>
        <row r="1983">
          <cell r="D1983">
            <v>4</v>
          </cell>
          <cell r="U1983">
            <v>6890</v>
          </cell>
          <cell r="V1983">
            <v>27560</v>
          </cell>
        </row>
        <row r="1984">
          <cell r="U1984">
            <v>3670</v>
          </cell>
          <cell r="V1984">
            <v>0</v>
          </cell>
        </row>
        <row r="1985">
          <cell r="U1985">
            <v>13830</v>
          </cell>
          <cell r="V1985">
            <v>0</v>
          </cell>
        </row>
        <row r="1986">
          <cell r="U1986">
            <v>141790</v>
          </cell>
          <cell r="V1986">
            <v>0</v>
          </cell>
        </row>
        <row r="1987">
          <cell r="D1987">
            <v>1</v>
          </cell>
          <cell r="U1987">
            <v>778770</v>
          </cell>
          <cell r="V1987">
            <v>778770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2014</v>
          </cell>
        </row>
        <row r="11">
          <cell r="B11" t="str">
            <v>DR. FRANCISCO MARTINEZ CAVALLA</v>
          </cell>
        </row>
        <row r="12">
          <cell r="A12" t="str">
            <v>Jefe de Estadisticas</v>
          </cell>
          <cell r="B12" t="str">
            <v xml:space="preserve">SRA. MARIA INES NUÑEZ GONZALEZ </v>
          </cell>
        </row>
      </sheetData>
      <sheetData sheetId="1"/>
      <sheetData sheetId="2">
        <row r="12">
          <cell r="D12">
            <v>60650</v>
          </cell>
        </row>
        <row r="13">
          <cell r="D13">
            <v>24903</v>
          </cell>
        </row>
        <row r="14">
          <cell r="D14">
            <v>25630</v>
          </cell>
        </row>
        <row r="15">
          <cell r="D15">
            <v>1038</v>
          </cell>
        </row>
        <row r="16">
          <cell r="D16">
            <v>0</v>
          </cell>
        </row>
        <row r="17">
          <cell r="D17">
            <v>1681</v>
          </cell>
        </row>
        <row r="18">
          <cell r="D18">
            <v>4492</v>
          </cell>
        </row>
        <row r="19">
          <cell r="D19">
            <v>3577</v>
          </cell>
        </row>
        <row r="20">
          <cell r="D20">
            <v>38</v>
          </cell>
        </row>
        <row r="21">
          <cell r="D21">
            <v>877</v>
          </cell>
        </row>
        <row r="22">
          <cell r="D22">
            <v>0</v>
          </cell>
        </row>
        <row r="23">
          <cell r="D23">
            <v>82</v>
          </cell>
        </row>
        <row r="24">
          <cell r="D24">
            <v>2824</v>
          </cell>
        </row>
        <row r="25">
          <cell r="D25">
            <v>4955</v>
          </cell>
        </row>
        <row r="26">
          <cell r="D26">
            <v>2896</v>
          </cell>
        </row>
        <row r="27">
          <cell r="D27">
            <v>7</v>
          </cell>
        </row>
        <row r="28">
          <cell r="D28">
            <v>843</v>
          </cell>
        </row>
        <row r="30">
          <cell r="D30">
            <v>702</v>
          </cell>
        </row>
        <row r="31">
          <cell r="D31">
            <v>240</v>
          </cell>
        </row>
        <row r="32">
          <cell r="D32">
            <v>267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1</v>
          </cell>
          <cell r="G68">
            <v>0</v>
          </cell>
          <cell r="H68">
            <v>0</v>
          </cell>
        </row>
        <row r="69">
          <cell r="F69">
            <v>238</v>
          </cell>
          <cell r="G69">
            <v>0</v>
          </cell>
          <cell r="H69">
            <v>0</v>
          </cell>
        </row>
        <row r="70">
          <cell r="F70">
            <v>40</v>
          </cell>
          <cell r="G70">
            <v>8</v>
          </cell>
          <cell r="H70">
            <v>0</v>
          </cell>
        </row>
        <row r="71">
          <cell r="F71">
            <v>4</v>
          </cell>
          <cell r="G71">
            <v>0</v>
          </cell>
          <cell r="H71">
            <v>0</v>
          </cell>
        </row>
        <row r="72">
          <cell r="F72">
            <v>61</v>
          </cell>
          <cell r="G72">
            <v>1</v>
          </cell>
          <cell r="H72">
            <v>0</v>
          </cell>
        </row>
        <row r="73">
          <cell r="F73">
            <v>109</v>
          </cell>
          <cell r="G73">
            <v>1</v>
          </cell>
          <cell r="H73">
            <v>0</v>
          </cell>
        </row>
        <row r="74">
          <cell r="F74">
            <v>5</v>
          </cell>
          <cell r="G74">
            <v>1</v>
          </cell>
          <cell r="H74">
            <v>0</v>
          </cell>
        </row>
        <row r="75">
          <cell r="F75">
            <v>7</v>
          </cell>
          <cell r="G75">
            <v>0</v>
          </cell>
          <cell r="H75">
            <v>0</v>
          </cell>
        </row>
        <row r="76">
          <cell r="F76">
            <v>161</v>
          </cell>
          <cell r="G76">
            <v>12</v>
          </cell>
          <cell r="H76">
            <v>0</v>
          </cell>
        </row>
        <row r="77">
          <cell r="F77">
            <v>7</v>
          </cell>
          <cell r="G77">
            <v>0</v>
          </cell>
          <cell r="H77">
            <v>0</v>
          </cell>
        </row>
        <row r="78">
          <cell r="F78">
            <v>28</v>
          </cell>
          <cell r="G78">
            <v>2</v>
          </cell>
          <cell r="H78">
            <v>0</v>
          </cell>
        </row>
        <row r="79">
          <cell r="F79">
            <v>7</v>
          </cell>
          <cell r="G79">
            <v>1</v>
          </cell>
          <cell r="H79">
            <v>0</v>
          </cell>
        </row>
        <row r="80">
          <cell r="F80">
            <v>49</v>
          </cell>
          <cell r="G80">
            <v>6</v>
          </cell>
          <cell r="H80">
            <v>0</v>
          </cell>
        </row>
        <row r="81">
          <cell r="F81">
            <v>58</v>
          </cell>
          <cell r="G81">
            <v>0</v>
          </cell>
          <cell r="H81">
            <v>0</v>
          </cell>
        </row>
        <row r="82">
          <cell r="F82">
            <v>51</v>
          </cell>
          <cell r="G82">
            <v>4</v>
          </cell>
          <cell r="H82">
            <v>0</v>
          </cell>
        </row>
        <row r="130">
          <cell r="E130">
            <v>1058</v>
          </cell>
        </row>
      </sheetData>
      <sheetData sheetId="3">
        <row r="13">
          <cell r="U13">
            <v>4170</v>
          </cell>
          <cell r="V13">
            <v>0</v>
          </cell>
        </row>
        <row r="14">
          <cell r="U14">
            <v>5240</v>
          </cell>
          <cell r="V14">
            <v>0</v>
          </cell>
        </row>
        <row r="15">
          <cell r="D15">
            <v>6327</v>
          </cell>
          <cell r="U15">
            <v>11250</v>
          </cell>
          <cell r="V15">
            <v>71178750</v>
          </cell>
        </row>
        <row r="16">
          <cell r="U16">
            <v>6720</v>
          </cell>
          <cell r="V16">
            <v>0</v>
          </cell>
        </row>
        <row r="17">
          <cell r="U17">
            <v>7370</v>
          </cell>
          <cell r="V17">
            <v>0</v>
          </cell>
        </row>
        <row r="18">
          <cell r="U18">
            <v>14110</v>
          </cell>
          <cell r="V18">
            <v>0</v>
          </cell>
        </row>
        <row r="19">
          <cell r="D19">
            <v>47</v>
          </cell>
          <cell r="U19">
            <v>14110</v>
          </cell>
          <cell r="V19">
            <v>663170</v>
          </cell>
        </row>
        <row r="20">
          <cell r="U20">
            <v>5690</v>
          </cell>
          <cell r="V20">
            <v>0</v>
          </cell>
        </row>
        <row r="21">
          <cell r="U21">
            <v>6820</v>
          </cell>
          <cell r="V21">
            <v>0</v>
          </cell>
        </row>
        <row r="22">
          <cell r="U22">
            <v>8460</v>
          </cell>
          <cell r="V22">
            <v>0</v>
          </cell>
        </row>
        <row r="23">
          <cell r="D23">
            <v>2134</v>
          </cell>
          <cell r="U23">
            <v>5690</v>
          </cell>
          <cell r="V23">
            <v>12142460</v>
          </cell>
        </row>
        <row r="24">
          <cell r="D24">
            <v>1439</v>
          </cell>
          <cell r="U24">
            <v>6820</v>
          </cell>
          <cell r="V24">
            <v>9813980</v>
          </cell>
        </row>
        <row r="25">
          <cell r="D25">
            <v>2395</v>
          </cell>
          <cell r="U25">
            <v>8460</v>
          </cell>
          <cell r="V25">
            <v>20261700</v>
          </cell>
        </row>
        <row r="27">
          <cell r="D27">
            <v>1696</v>
          </cell>
          <cell r="U27">
            <v>1110</v>
          </cell>
          <cell r="V27">
            <v>1882560</v>
          </cell>
        </row>
        <row r="28">
          <cell r="U28">
            <v>1900</v>
          </cell>
          <cell r="V28">
            <v>0</v>
          </cell>
        </row>
        <row r="29">
          <cell r="U29">
            <v>610</v>
          </cell>
          <cell r="V29">
            <v>0</v>
          </cell>
        </row>
        <row r="30">
          <cell r="D30">
            <v>108</v>
          </cell>
          <cell r="U30">
            <v>1500</v>
          </cell>
          <cell r="V30">
            <v>162000</v>
          </cell>
        </row>
        <row r="31">
          <cell r="D31">
            <v>1154</v>
          </cell>
          <cell r="U31">
            <v>1210</v>
          </cell>
          <cell r="V31">
            <v>1396340</v>
          </cell>
        </row>
        <row r="32">
          <cell r="U32">
            <v>1110</v>
          </cell>
          <cell r="V32">
            <v>0</v>
          </cell>
        </row>
        <row r="34">
          <cell r="D34">
            <v>65</v>
          </cell>
          <cell r="U34">
            <v>3640</v>
          </cell>
          <cell r="V34">
            <v>236600</v>
          </cell>
        </row>
        <row r="35">
          <cell r="D35">
            <v>616</v>
          </cell>
          <cell r="U35">
            <v>2000</v>
          </cell>
          <cell r="V35">
            <v>1232000</v>
          </cell>
        </row>
        <row r="36">
          <cell r="D36">
            <v>2</v>
          </cell>
          <cell r="U36">
            <v>2000</v>
          </cell>
          <cell r="V36">
            <v>4000</v>
          </cell>
        </row>
        <row r="37">
          <cell r="D37">
            <v>587</v>
          </cell>
          <cell r="U37">
            <v>610</v>
          </cell>
          <cell r="V37">
            <v>358070</v>
          </cell>
        </row>
        <row r="39">
          <cell r="D39">
            <v>5</v>
          </cell>
          <cell r="U39">
            <v>1730</v>
          </cell>
          <cell r="V39">
            <v>8650</v>
          </cell>
        </row>
        <row r="40">
          <cell r="D40">
            <v>23</v>
          </cell>
          <cell r="U40">
            <v>1730</v>
          </cell>
          <cell r="V40">
            <v>39790</v>
          </cell>
        </row>
        <row r="41">
          <cell r="U41">
            <v>1000</v>
          </cell>
          <cell r="V41">
            <v>0</v>
          </cell>
        </row>
        <row r="43">
          <cell r="D43">
            <v>282</v>
          </cell>
          <cell r="U43">
            <v>760</v>
          </cell>
          <cell r="V43">
            <v>214320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1350</v>
          </cell>
          <cell r="V47">
            <v>0</v>
          </cell>
        </row>
        <row r="48">
          <cell r="D48">
            <v>524</v>
          </cell>
          <cell r="U48">
            <v>660</v>
          </cell>
          <cell r="V48">
            <v>345840</v>
          </cell>
        </row>
        <row r="49">
          <cell r="D49">
            <v>516</v>
          </cell>
          <cell r="U49">
            <v>2000</v>
          </cell>
          <cell r="V49">
            <v>1032000</v>
          </cell>
        </row>
        <row r="50">
          <cell r="D50">
            <v>57</v>
          </cell>
          <cell r="U50">
            <v>15030</v>
          </cell>
          <cell r="V50">
            <v>856710</v>
          </cell>
        </row>
        <row r="51">
          <cell r="D51">
            <v>120</v>
          </cell>
          <cell r="U51">
            <v>34510</v>
          </cell>
          <cell r="V51">
            <v>4141200</v>
          </cell>
        </row>
        <row r="52">
          <cell r="D52">
            <v>50</v>
          </cell>
          <cell r="V52">
            <v>430500</v>
          </cell>
        </row>
        <row r="59">
          <cell r="D59">
            <v>6053</v>
          </cell>
          <cell r="U59">
            <v>33020</v>
          </cell>
          <cell r="V59">
            <v>199870060</v>
          </cell>
        </row>
        <row r="60">
          <cell r="U60">
            <v>30400</v>
          </cell>
          <cell r="V60">
            <v>0</v>
          </cell>
        </row>
        <row r="61">
          <cell r="U61">
            <v>25340</v>
          </cell>
          <cell r="V61">
            <v>0</v>
          </cell>
        </row>
        <row r="62">
          <cell r="D62">
            <v>96</v>
          </cell>
          <cell r="U62">
            <v>137290</v>
          </cell>
          <cell r="V62">
            <v>13179840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163</v>
          </cell>
          <cell r="U65">
            <v>66300</v>
          </cell>
          <cell r="V65">
            <v>10806900</v>
          </cell>
        </row>
        <row r="66">
          <cell r="D66">
            <v>135</v>
          </cell>
          <cell r="V66">
            <v>8950500</v>
          </cell>
        </row>
        <row r="67">
          <cell r="V67">
            <v>0</v>
          </cell>
        </row>
        <row r="68">
          <cell r="D68">
            <v>100</v>
          </cell>
          <cell r="U68">
            <v>59490</v>
          </cell>
          <cell r="V68">
            <v>5949000</v>
          </cell>
        </row>
        <row r="69">
          <cell r="U69">
            <v>16880</v>
          </cell>
          <cell r="V69">
            <v>0</v>
          </cell>
        </row>
        <row r="70">
          <cell r="U70">
            <v>26450</v>
          </cell>
          <cell r="V70">
            <v>0</v>
          </cell>
        </row>
        <row r="71">
          <cell r="U71">
            <v>27530</v>
          </cell>
          <cell r="V71">
            <v>0</v>
          </cell>
        </row>
        <row r="72">
          <cell r="U72">
            <v>11100</v>
          </cell>
          <cell r="V72">
            <v>0</v>
          </cell>
        </row>
        <row r="73">
          <cell r="U73">
            <v>26670</v>
          </cell>
          <cell r="V73">
            <v>0</v>
          </cell>
        </row>
        <row r="74">
          <cell r="U74">
            <v>11100</v>
          </cell>
          <cell r="V74">
            <v>0</v>
          </cell>
        </row>
        <row r="75">
          <cell r="D75">
            <v>2</v>
          </cell>
          <cell r="U75">
            <v>4890</v>
          </cell>
          <cell r="V75">
            <v>9780</v>
          </cell>
        </row>
        <row r="76">
          <cell r="U76">
            <v>33020</v>
          </cell>
          <cell r="V76">
            <v>0</v>
          </cell>
        </row>
        <row r="77">
          <cell r="U77">
            <v>89270</v>
          </cell>
          <cell r="V77">
            <v>0</v>
          </cell>
        </row>
        <row r="78">
          <cell r="U78">
            <v>10540</v>
          </cell>
          <cell r="V78">
            <v>0</v>
          </cell>
        </row>
        <row r="79">
          <cell r="D79">
            <v>30</v>
          </cell>
          <cell r="U79">
            <v>6410</v>
          </cell>
          <cell r="V79">
            <v>192300</v>
          </cell>
        </row>
        <row r="80">
          <cell r="U80">
            <v>46280</v>
          </cell>
          <cell r="V80">
            <v>0</v>
          </cell>
        </row>
        <row r="81">
          <cell r="U81">
            <v>8120</v>
          </cell>
          <cell r="V81">
            <v>0</v>
          </cell>
        </row>
        <row r="83">
          <cell r="V83">
            <v>25457760</v>
          </cell>
        </row>
        <row r="174">
          <cell r="V174">
            <v>30284310</v>
          </cell>
        </row>
        <row r="243">
          <cell r="V243">
            <v>3634020</v>
          </cell>
        </row>
        <row r="289">
          <cell r="V289">
            <v>0</v>
          </cell>
        </row>
        <row r="295">
          <cell r="V295">
            <v>7978440</v>
          </cell>
        </row>
        <row r="362">
          <cell r="V362">
            <v>8098900</v>
          </cell>
        </row>
        <row r="405">
          <cell r="V405">
            <v>102990</v>
          </cell>
        </row>
        <row r="428">
          <cell r="V428">
            <v>3551060</v>
          </cell>
        </row>
        <row r="446">
          <cell r="V446">
            <v>0</v>
          </cell>
        </row>
        <row r="456">
          <cell r="V456">
            <v>178910</v>
          </cell>
        </row>
        <row r="500">
          <cell r="V500">
            <v>3560850</v>
          </cell>
        </row>
        <row r="535">
          <cell r="V535">
            <v>22827700</v>
          </cell>
        </row>
        <row r="590">
          <cell r="V590">
            <v>127680</v>
          </cell>
        </row>
        <row r="615">
          <cell r="V615">
            <v>43010050</v>
          </cell>
        </row>
        <row r="633">
          <cell r="V633">
            <v>15525750</v>
          </cell>
        </row>
        <row r="634">
          <cell r="V634">
            <v>1221600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971</v>
          </cell>
          <cell r="V768">
            <v>6887240</v>
          </cell>
        </row>
        <row r="783">
          <cell r="V783">
            <v>0</v>
          </cell>
        </row>
        <row r="795">
          <cell r="D795">
            <v>245</v>
          </cell>
          <cell r="U795">
            <v>6900</v>
          </cell>
          <cell r="V795">
            <v>1690500</v>
          </cell>
        </row>
        <row r="796">
          <cell r="D796">
            <v>324</v>
          </cell>
          <cell r="U796">
            <v>2700</v>
          </cell>
          <cell r="V796">
            <v>874800</v>
          </cell>
        </row>
        <row r="797">
          <cell r="D797">
            <v>535</v>
          </cell>
          <cell r="U797">
            <v>2700</v>
          </cell>
          <cell r="V797">
            <v>1444500</v>
          </cell>
        </row>
        <row r="798">
          <cell r="D798">
            <v>3</v>
          </cell>
          <cell r="U798">
            <v>10760</v>
          </cell>
          <cell r="V798">
            <v>32280</v>
          </cell>
        </row>
        <row r="799">
          <cell r="D799">
            <v>27</v>
          </cell>
          <cell r="U799">
            <v>12600</v>
          </cell>
          <cell r="V799">
            <v>340200</v>
          </cell>
        </row>
        <row r="800">
          <cell r="U800">
            <v>28580</v>
          </cell>
          <cell r="V800">
            <v>0</v>
          </cell>
        </row>
        <row r="801">
          <cell r="U801">
            <v>3550</v>
          </cell>
          <cell r="V801">
            <v>0</v>
          </cell>
        </row>
        <row r="802">
          <cell r="U802">
            <v>9180</v>
          </cell>
          <cell r="V802">
            <v>0</v>
          </cell>
        </row>
        <row r="805">
          <cell r="D805">
            <v>9</v>
          </cell>
          <cell r="U805">
            <v>14260</v>
          </cell>
          <cell r="V805">
            <v>128340</v>
          </cell>
        </row>
        <row r="806">
          <cell r="U806">
            <v>11400</v>
          </cell>
          <cell r="V806">
            <v>0</v>
          </cell>
        </row>
        <row r="807">
          <cell r="U807">
            <v>386950</v>
          </cell>
          <cell r="V807">
            <v>0</v>
          </cell>
        </row>
        <row r="811">
          <cell r="V811">
            <v>149420</v>
          </cell>
        </row>
        <row r="882">
          <cell r="V882">
            <v>83323060</v>
          </cell>
        </row>
        <row r="961">
          <cell r="V961">
            <v>4486770</v>
          </cell>
        </row>
        <row r="1036">
          <cell r="U1036">
            <v>9120</v>
          </cell>
          <cell r="V1036">
            <v>0</v>
          </cell>
        </row>
        <row r="1037">
          <cell r="V1037">
            <v>534000</v>
          </cell>
        </row>
        <row r="1098">
          <cell r="V1098">
            <v>2938245</v>
          </cell>
        </row>
        <row r="1166">
          <cell r="V1166">
            <v>2136310</v>
          </cell>
        </row>
        <row r="1197">
          <cell r="D1197">
            <v>625</v>
          </cell>
          <cell r="U1197">
            <v>4880</v>
          </cell>
          <cell r="V1197">
            <v>3050000</v>
          </cell>
        </row>
        <row r="1198">
          <cell r="D1198">
            <v>17</v>
          </cell>
          <cell r="U1198">
            <v>13770</v>
          </cell>
          <cell r="V1198">
            <v>234090</v>
          </cell>
        </row>
        <row r="1199">
          <cell r="D1199">
            <v>41</v>
          </cell>
          <cell r="U1199">
            <v>23350</v>
          </cell>
          <cell r="V1199">
            <v>957350</v>
          </cell>
        </row>
        <row r="1200">
          <cell r="U1200">
            <v>44580</v>
          </cell>
          <cell r="V1200">
            <v>0</v>
          </cell>
        </row>
        <row r="1201">
          <cell r="D1201">
            <v>213</v>
          </cell>
          <cell r="U1201">
            <v>49690</v>
          </cell>
          <cell r="V1201">
            <v>10583970</v>
          </cell>
        </row>
        <row r="1202">
          <cell r="U1202">
            <v>27870</v>
          </cell>
          <cell r="V1202">
            <v>0</v>
          </cell>
        </row>
        <row r="1203">
          <cell r="U1203">
            <v>215630</v>
          </cell>
          <cell r="V1203">
            <v>0</v>
          </cell>
        </row>
        <row r="1204">
          <cell r="U1204">
            <v>245140</v>
          </cell>
          <cell r="V1204">
            <v>0</v>
          </cell>
        </row>
        <row r="1205">
          <cell r="U1205">
            <v>199900</v>
          </cell>
          <cell r="V1205">
            <v>0</v>
          </cell>
        </row>
        <row r="1206">
          <cell r="U1206">
            <v>256770</v>
          </cell>
          <cell r="V1206">
            <v>0</v>
          </cell>
        </row>
        <row r="1207">
          <cell r="U1207">
            <v>262730</v>
          </cell>
          <cell r="V1207">
            <v>0</v>
          </cell>
        </row>
        <row r="1208">
          <cell r="U1208">
            <v>222180</v>
          </cell>
          <cell r="V1208">
            <v>0</v>
          </cell>
        </row>
        <row r="1209">
          <cell r="U1209">
            <v>237160</v>
          </cell>
          <cell r="V1209">
            <v>0</v>
          </cell>
        </row>
        <row r="1210">
          <cell r="U1210">
            <v>283580</v>
          </cell>
          <cell r="V1210">
            <v>0</v>
          </cell>
        </row>
        <row r="1211">
          <cell r="U1211">
            <v>251470</v>
          </cell>
          <cell r="V1211">
            <v>0</v>
          </cell>
        </row>
        <row r="1212">
          <cell r="U1212">
            <v>1840310</v>
          </cell>
          <cell r="V1212">
            <v>0</v>
          </cell>
        </row>
        <row r="1213">
          <cell r="U1213">
            <v>1149460</v>
          </cell>
          <cell r="V1213">
            <v>0</v>
          </cell>
        </row>
        <row r="1214">
          <cell r="U1214">
            <v>1112540</v>
          </cell>
          <cell r="V1214">
            <v>0</v>
          </cell>
        </row>
        <row r="1215">
          <cell r="U1215">
            <v>1165530</v>
          </cell>
          <cell r="V1215">
            <v>0</v>
          </cell>
        </row>
        <row r="1216">
          <cell r="U1216">
            <v>164930</v>
          </cell>
          <cell r="V1216">
            <v>0</v>
          </cell>
        </row>
        <row r="1217">
          <cell r="U1217">
            <v>376370</v>
          </cell>
          <cell r="V1217">
            <v>0</v>
          </cell>
        </row>
        <row r="1218">
          <cell r="U1218">
            <v>139530</v>
          </cell>
          <cell r="V1218">
            <v>0</v>
          </cell>
        </row>
        <row r="1219">
          <cell r="U1219">
            <v>1130520</v>
          </cell>
          <cell r="V1219">
            <v>0</v>
          </cell>
        </row>
        <row r="1220">
          <cell r="U1220">
            <v>1130520</v>
          </cell>
          <cell r="V1220">
            <v>0</v>
          </cell>
        </row>
        <row r="1221">
          <cell r="V1221">
            <v>566375</v>
          </cell>
        </row>
        <row r="1287">
          <cell r="V1287">
            <v>368270</v>
          </cell>
        </row>
        <row r="1354">
          <cell r="D1354">
            <v>81</v>
          </cell>
          <cell r="U1354">
            <v>33720</v>
          </cell>
          <cell r="V1354">
            <v>2731320</v>
          </cell>
        </row>
        <row r="1355">
          <cell r="U1355">
            <v>40670</v>
          </cell>
          <cell r="V1355">
            <v>0</v>
          </cell>
        </row>
        <row r="1356">
          <cell r="D1356">
            <v>15</v>
          </cell>
          <cell r="U1356">
            <v>43320</v>
          </cell>
          <cell r="V1356">
            <v>649800</v>
          </cell>
        </row>
        <row r="1357">
          <cell r="V1357">
            <v>38058375</v>
          </cell>
        </row>
        <row r="1441">
          <cell r="V1441">
            <v>588980</v>
          </cell>
        </row>
        <row r="1481">
          <cell r="U1481">
            <v>41580</v>
          </cell>
          <cell r="V1481">
            <v>0</v>
          </cell>
        </row>
        <row r="1482">
          <cell r="U1482">
            <v>26150</v>
          </cell>
          <cell r="V1482">
            <v>0</v>
          </cell>
        </row>
        <row r="1483">
          <cell r="U1483">
            <v>26930</v>
          </cell>
          <cell r="V1483">
            <v>0</v>
          </cell>
        </row>
        <row r="1484">
          <cell r="U1484">
            <v>808040</v>
          </cell>
          <cell r="V1484">
            <v>0</v>
          </cell>
        </row>
        <row r="1485">
          <cell r="U1485">
            <v>367020</v>
          </cell>
          <cell r="V1485">
            <v>0</v>
          </cell>
        </row>
        <row r="1486">
          <cell r="U1486">
            <v>561210</v>
          </cell>
          <cell r="V1486">
            <v>0</v>
          </cell>
        </row>
        <row r="1487">
          <cell r="U1487">
            <v>50600</v>
          </cell>
          <cell r="V1487">
            <v>0</v>
          </cell>
        </row>
        <row r="1488">
          <cell r="U1488">
            <v>657830</v>
          </cell>
          <cell r="V1488">
            <v>0</v>
          </cell>
        </row>
        <row r="1489">
          <cell r="V1489">
            <v>5792250</v>
          </cell>
        </row>
        <row r="1574">
          <cell r="V1574">
            <v>9055740</v>
          </cell>
        </row>
        <row r="1592">
          <cell r="V1592">
            <v>1437915</v>
          </cell>
        </row>
        <row r="1597">
          <cell r="V1597">
            <v>9148500</v>
          </cell>
        </row>
        <row r="1631">
          <cell r="V1631">
            <v>6692100</v>
          </cell>
        </row>
        <row r="1632">
          <cell r="V1632">
            <v>0</v>
          </cell>
        </row>
        <row r="1633">
          <cell r="D1633">
            <v>25</v>
          </cell>
          <cell r="V1633">
            <v>2436750</v>
          </cell>
        </row>
        <row r="1634">
          <cell r="D1634">
            <v>33</v>
          </cell>
          <cell r="V1634">
            <v>4255350</v>
          </cell>
        </row>
        <row r="1635">
          <cell r="V1635">
            <v>0</v>
          </cell>
        </row>
        <row r="1636">
          <cell r="D1636">
            <v>77</v>
          </cell>
          <cell r="U1636">
            <v>128940</v>
          </cell>
          <cell r="V1636">
            <v>9928380</v>
          </cell>
        </row>
        <row r="1637">
          <cell r="D1637">
            <v>7</v>
          </cell>
          <cell r="U1637">
            <v>135670</v>
          </cell>
          <cell r="V1637">
            <v>949690</v>
          </cell>
        </row>
        <row r="1639">
          <cell r="V1639">
            <v>10392340</v>
          </cell>
        </row>
        <row r="1845">
          <cell r="D1845">
            <v>7</v>
          </cell>
          <cell r="F1845">
            <v>1</v>
          </cell>
          <cell r="G1845">
            <v>0</v>
          </cell>
          <cell r="V1845">
            <v>431350</v>
          </cell>
        </row>
        <row r="1849">
          <cell r="D1849">
            <v>25</v>
          </cell>
          <cell r="V1849">
            <v>1604300</v>
          </cell>
        </row>
        <row r="1861">
          <cell r="D1861">
            <v>49</v>
          </cell>
          <cell r="U1861">
            <v>27970</v>
          </cell>
          <cell r="V1861">
            <v>1370530</v>
          </cell>
        </row>
        <row r="1863">
          <cell r="D1863">
            <v>178</v>
          </cell>
          <cell r="U1863">
            <v>18430</v>
          </cell>
          <cell r="V1863">
            <v>3280540</v>
          </cell>
        </row>
        <row r="1864">
          <cell r="D1864">
            <v>174</v>
          </cell>
          <cell r="U1864">
            <v>57970</v>
          </cell>
          <cell r="V1864">
            <v>10086780</v>
          </cell>
        </row>
        <row r="1865">
          <cell r="U1865">
            <v>71860</v>
          </cell>
          <cell r="V1865">
            <v>0</v>
          </cell>
        </row>
        <row r="1866">
          <cell r="D1866">
            <v>145</v>
          </cell>
          <cell r="U1866">
            <v>2520</v>
          </cell>
          <cell r="V1866">
            <v>365400</v>
          </cell>
        </row>
        <row r="1867">
          <cell r="U1867">
            <v>70</v>
          </cell>
          <cell r="V1867">
            <v>0</v>
          </cell>
        </row>
        <row r="1868">
          <cell r="U1868">
            <v>152560</v>
          </cell>
          <cell r="V1868">
            <v>0</v>
          </cell>
        </row>
        <row r="1869">
          <cell r="U1869">
            <v>10370</v>
          </cell>
          <cell r="V1869">
            <v>0</v>
          </cell>
        </row>
        <row r="1871">
          <cell r="V1871">
            <v>4466380</v>
          </cell>
        </row>
        <row r="1889">
          <cell r="V1889">
            <v>6915190</v>
          </cell>
        </row>
        <row r="1914">
          <cell r="V1914">
            <v>3796880</v>
          </cell>
        </row>
        <row r="1941">
          <cell r="D1941">
            <v>509</v>
          </cell>
          <cell r="U1941">
            <v>19310</v>
          </cell>
          <cell r="V1941">
            <v>9828790</v>
          </cell>
        </row>
        <row r="1942">
          <cell r="U1942">
            <v>242060</v>
          </cell>
          <cell r="V1942">
            <v>0</v>
          </cell>
        </row>
        <row r="1944">
          <cell r="U1944">
            <v>247230</v>
          </cell>
          <cell r="V1944">
            <v>0</v>
          </cell>
        </row>
        <row r="1945">
          <cell r="U1945">
            <v>35130</v>
          </cell>
          <cell r="V1945">
            <v>0</v>
          </cell>
        </row>
        <row r="1946">
          <cell r="U1946">
            <v>132520</v>
          </cell>
          <cell r="V1946">
            <v>0</v>
          </cell>
        </row>
        <row r="1947">
          <cell r="U1947">
            <v>132520</v>
          </cell>
          <cell r="V1947">
            <v>0</v>
          </cell>
        </row>
        <row r="1948">
          <cell r="U1948">
            <v>241260</v>
          </cell>
          <cell r="V1948">
            <v>0</v>
          </cell>
        </row>
        <row r="1949">
          <cell r="U1949">
            <v>370240</v>
          </cell>
          <cell r="V1949">
            <v>0</v>
          </cell>
        </row>
        <row r="1950">
          <cell r="U1950">
            <v>631610</v>
          </cell>
          <cell r="V1950">
            <v>0</v>
          </cell>
        </row>
        <row r="1951">
          <cell r="U1951">
            <v>131550</v>
          </cell>
          <cell r="V1951">
            <v>0</v>
          </cell>
        </row>
        <row r="1952">
          <cell r="U1952">
            <v>354560</v>
          </cell>
          <cell r="V1952">
            <v>0</v>
          </cell>
        </row>
        <row r="1953">
          <cell r="U1953">
            <v>149290</v>
          </cell>
          <cell r="V1953">
            <v>0</v>
          </cell>
        </row>
        <row r="1954">
          <cell r="U1954">
            <v>129730</v>
          </cell>
          <cell r="V1954">
            <v>0</v>
          </cell>
        </row>
        <row r="1955">
          <cell r="U1955">
            <v>197230</v>
          </cell>
          <cell r="V1955">
            <v>0</v>
          </cell>
        </row>
        <row r="1956">
          <cell r="U1956">
            <v>51900</v>
          </cell>
          <cell r="V1956">
            <v>0</v>
          </cell>
        </row>
        <row r="1957">
          <cell r="U1957">
            <v>38790</v>
          </cell>
          <cell r="V1957">
            <v>0</v>
          </cell>
        </row>
        <row r="1958">
          <cell r="U1958">
            <v>212700</v>
          </cell>
          <cell r="V1958">
            <v>0</v>
          </cell>
        </row>
        <row r="1959">
          <cell r="U1959">
            <v>1265290</v>
          </cell>
          <cell r="V1959">
            <v>0</v>
          </cell>
        </row>
        <row r="1960">
          <cell r="U1960">
            <v>190900</v>
          </cell>
          <cell r="V1960">
            <v>0</v>
          </cell>
        </row>
        <row r="1961">
          <cell r="U1961">
            <v>168820</v>
          </cell>
          <cell r="V1961">
            <v>0</v>
          </cell>
        </row>
        <row r="1962">
          <cell r="U1962">
            <v>342700</v>
          </cell>
          <cell r="V1962">
            <v>0</v>
          </cell>
        </row>
        <row r="1963">
          <cell r="U1963">
            <v>1139590</v>
          </cell>
          <cell r="V1963">
            <v>0</v>
          </cell>
        </row>
        <row r="1964">
          <cell r="U1964">
            <v>1171120</v>
          </cell>
          <cell r="V1964">
            <v>0</v>
          </cell>
        </row>
        <row r="1965">
          <cell r="U1965">
            <v>927270</v>
          </cell>
          <cell r="V1965">
            <v>0</v>
          </cell>
        </row>
        <row r="1966">
          <cell r="U1966">
            <v>977250</v>
          </cell>
          <cell r="V1966">
            <v>0</v>
          </cell>
        </row>
        <row r="1967">
          <cell r="U1967">
            <v>385520</v>
          </cell>
          <cell r="V1967">
            <v>0</v>
          </cell>
        </row>
        <row r="1968">
          <cell r="U1968">
            <v>92330</v>
          </cell>
          <cell r="V1968">
            <v>0</v>
          </cell>
        </row>
        <row r="1969">
          <cell r="U1969">
            <v>275450</v>
          </cell>
          <cell r="V1969">
            <v>0</v>
          </cell>
        </row>
        <row r="1970">
          <cell r="U1970">
            <v>77880</v>
          </cell>
          <cell r="V1970">
            <v>0</v>
          </cell>
        </row>
        <row r="1971">
          <cell r="U1971">
            <v>1338250</v>
          </cell>
          <cell r="V1971">
            <v>0</v>
          </cell>
        </row>
        <row r="1972">
          <cell r="U1972">
            <v>312910</v>
          </cell>
          <cell r="V1972">
            <v>0</v>
          </cell>
        </row>
        <row r="1973">
          <cell r="U1973">
            <v>1048270</v>
          </cell>
          <cell r="V1973">
            <v>0</v>
          </cell>
        </row>
        <row r="1974">
          <cell r="U1974">
            <v>641750</v>
          </cell>
          <cell r="V1974">
            <v>0</v>
          </cell>
        </row>
        <row r="1975">
          <cell r="U1975">
            <v>523710</v>
          </cell>
          <cell r="V1975">
            <v>0</v>
          </cell>
        </row>
        <row r="1976">
          <cell r="U1976">
            <v>282310</v>
          </cell>
          <cell r="V1976">
            <v>0</v>
          </cell>
        </row>
        <row r="1977">
          <cell r="U1977">
            <v>164590</v>
          </cell>
          <cell r="V1977">
            <v>0</v>
          </cell>
        </row>
        <row r="1978">
          <cell r="U1978">
            <v>397700</v>
          </cell>
          <cell r="V1978">
            <v>0</v>
          </cell>
        </row>
        <row r="1979">
          <cell r="U1979">
            <v>412140</v>
          </cell>
          <cell r="V1979">
            <v>0</v>
          </cell>
        </row>
        <row r="1980">
          <cell r="U1980">
            <v>257530</v>
          </cell>
          <cell r="V1980">
            <v>0</v>
          </cell>
        </row>
        <row r="1981">
          <cell r="D1981">
            <v>92</v>
          </cell>
          <cell r="U1981">
            <v>35020</v>
          </cell>
          <cell r="V1981">
            <v>3221840</v>
          </cell>
        </row>
        <row r="1983">
          <cell r="D1983">
            <v>5</v>
          </cell>
          <cell r="U1983">
            <v>6890</v>
          </cell>
          <cell r="V1983">
            <v>34450</v>
          </cell>
        </row>
        <row r="1984">
          <cell r="U1984">
            <v>3670</v>
          </cell>
          <cell r="V1984">
            <v>0</v>
          </cell>
        </row>
        <row r="1985">
          <cell r="U1985">
            <v>13830</v>
          </cell>
          <cell r="V1985">
            <v>0</v>
          </cell>
        </row>
        <row r="1986">
          <cell r="U1986">
            <v>141790</v>
          </cell>
          <cell r="V1986">
            <v>0</v>
          </cell>
        </row>
        <row r="1987">
          <cell r="D1987">
            <v>1</v>
          </cell>
          <cell r="U1987">
            <v>778770</v>
          </cell>
          <cell r="V1987">
            <v>778770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2014</v>
          </cell>
        </row>
        <row r="11">
          <cell r="B11" t="str">
            <v>DR. FRANCISCO MARTINEZ CAVALLA</v>
          </cell>
        </row>
        <row r="12">
          <cell r="A12" t="str">
            <v>Jefe de Estadisticas</v>
          </cell>
          <cell r="B12" t="str">
            <v xml:space="preserve">SRA. MARIA INES NUÑEZ GONZALEZ </v>
          </cell>
        </row>
      </sheetData>
      <sheetData sheetId="1"/>
      <sheetData sheetId="2">
        <row r="12">
          <cell r="D12">
            <v>54135</v>
          </cell>
        </row>
        <row r="13">
          <cell r="D13">
            <v>22127</v>
          </cell>
        </row>
        <row r="14">
          <cell r="D14">
            <v>22860</v>
          </cell>
        </row>
        <row r="15">
          <cell r="D15">
            <v>834</v>
          </cell>
        </row>
        <row r="16">
          <cell r="D16">
            <v>0</v>
          </cell>
        </row>
        <row r="17">
          <cell r="D17">
            <v>1383</v>
          </cell>
        </row>
        <row r="18">
          <cell r="D18">
            <v>4324</v>
          </cell>
        </row>
        <row r="19">
          <cell r="D19">
            <v>3529</v>
          </cell>
        </row>
        <row r="20">
          <cell r="D20">
            <v>53</v>
          </cell>
        </row>
        <row r="21">
          <cell r="D21">
            <v>742</v>
          </cell>
        </row>
        <row r="22">
          <cell r="D22">
            <v>0</v>
          </cell>
        </row>
        <row r="23">
          <cell r="D23">
            <v>65</v>
          </cell>
        </row>
        <row r="24">
          <cell r="D24">
            <v>2542</v>
          </cell>
        </row>
        <row r="25">
          <cell r="D25">
            <v>3910</v>
          </cell>
        </row>
        <row r="26">
          <cell r="D26">
            <v>2276</v>
          </cell>
        </row>
        <row r="27">
          <cell r="D27">
            <v>1</v>
          </cell>
        </row>
        <row r="28">
          <cell r="D28">
            <v>689</v>
          </cell>
        </row>
        <row r="30">
          <cell r="D30">
            <v>628</v>
          </cell>
        </row>
        <row r="31">
          <cell r="D31">
            <v>105</v>
          </cell>
        </row>
        <row r="32">
          <cell r="D32">
            <v>211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4</v>
          </cell>
          <cell r="G68">
            <v>0</v>
          </cell>
          <cell r="H68">
            <v>0</v>
          </cell>
        </row>
        <row r="69">
          <cell r="F69">
            <v>179</v>
          </cell>
          <cell r="G69">
            <v>1</v>
          </cell>
          <cell r="H69">
            <v>0</v>
          </cell>
        </row>
        <row r="70">
          <cell r="F70">
            <v>16</v>
          </cell>
          <cell r="G70">
            <v>1</v>
          </cell>
          <cell r="H70">
            <v>0</v>
          </cell>
        </row>
        <row r="71">
          <cell r="F71">
            <v>4</v>
          </cell>
          <cell r="G71">
            <v>0</v>
          </cell>
          <cell r="H71">
            <v>0</v>
          </cell>
        </row>
        <row r="72">
          <cell r="F72">
            <v>71</v>
          </cell>
          <cell r="G72">
            <v>3</v>
          </cell>
          <cell r="H72">
            <v>0</v>
          </cell>
        </row>
        <row r="73">
          <cell r="F73">
            <v>140</v>
          </cell>
          <cell r="G73">
            <v>1</v>
          </cell>
          <cell r="H73">
            <v>0</v>
          </cell>
        </row>
        <row r="74">
          <cell r="F74">
            <v>2</v>
          </cell>
          <cell r="G74">
            <v>2</v>
          </cell>
          <cell r="H74">
            <v>0</v>
          </cell>
        </row>
        <row r="75">
          <cell r="F75">
            <v>5</v>
          </cell>
          <cell r="G75">
            <v>4</v>
          </cell>
          <cell r="H75">
            <v>0</v>
          </cell>
        </row>
        <row r="76">
          <cell r="F76">
            <v>133</v>
          </cell>
          <cell r="G76">
            <v>16</v>
          </cell>
          <cell r="H76">
            <v>0</v>
          </cell>
        </row>
        <row r="77">
          <cell r="F77">
            <v>13</v>
          </cell>
          <cell r="G77">
            <v>0</v>
          </cell>
          <cell r="H77">
            <v>0</v>
          </cell>
        </row>
        <row r="78">
          <cell r="F78">
            <v>22</v>
          </cell>
          <cell r="G78">
            <v>3</v>
          </cell>
          <cell r="H78">
            <v>0</v>
          </cell>
        </row>
        <row r="79">
          <cell r="F79">
            <v>6</v>
          </cell>
          <cell r="G79">
            <v>0</v>
          </cell>
          <cell r="H79">
            <v>0</v>
          </cell>
        </row>
        <row r="80">
          <cell r="F80">
            <v>28</v>
          </cell>
          <cell r="G80">
            <v>6</v>
          </cell>
          <cell r="H80">
            <v>0</v>
          </cell>
        </row>
        <row r="81">
          <cell r="F81">
            <v>42</v>
          </cell>
          <cell r="G81">
            <v>0</v>
          </cell>
          <cell r="H81">
            <v>0</v>
          </cell>
        </row>
        <row r="82">
          <cell r="F82">
            <v>51</v>
          </cell>
          <cell r="G82">
            <v>2</v>
          </cell>
          <cell r="H82">
            <v>0</v>
          </cell>
        </row>
        <row r="130">
          <cell r="E130">
            <v>1153</v>
          </cell>
        </row>
      </sheetData>
      <sheetData sheetId="3">
        <row r="13">
          <cell r="U13">
            <v>4170</v>
          </cell>
          <cell r="V13">
            <v>0</v>
          </cell>
        </row>
        <row r="14">
          <cell r="U14">
            <v>5240</v>
          </cell>
          <cell r="V14">
            <v>0</v>
          </cell>
        </row>
        <row r="15">
          <cell r="D15">
            <v>6307</v>
          </cell>
          <cell r="U15">
            <v>11250</v>
          </cell>
          <cell r="V15">
            <v>70953750</v>
          </cell>
        </row>
        <row r="16">
          <cell r="U16">
            <v>6720</v>
          </cell>
          <cell r="V16">
            <v>0</v>
          </cell>
        </row>
        <row r="17">
          <cell r="U17">
            <v>7370</v>
          </cell>
          <cell r="V17">
            <v>0</v>
          </cell>
        </row>
        <row r="18">
          <cell r="U18">
            <v>14110</v>
          </cell>
          <cell r="V18">
            <v>0</v>
          </cell>
        </row>
        <row r="19">
          <cell r="D19">
            <v>126</v>
          </cell>
          <cell r="U19">
            <v>14110</v>
          </cell>
          <cell r="V19">
            <v>1777860</v>
          </cell>
        </row>
        <row r="20">
          <cell r="U20">
            <v>5690</v>
          </cell>
          <cell r="V20">
            <v>0</v>
          </cell>
        </row>
        <row r="21">
          <cell r="U21">
            <v>6820</v>
          </cell>
          <cell r="V21">
            <v>0</v>
          </cell>
        </row>
        <row r="22">
          <cell r="U22">
            <v>8460</v>
          </cell>
          <cell r="V22">
            <v>0</v>
          </cell>
        </row>
        <row r="23">
          <cell r="D23">
            <v>1730</v>
          </cell>
          <cell r="U23">
            <v>5690</v>
          </cell>
          <cell r="V23">
            <v>9843700</v>
          </cell>
        </row>
        <row r="24">
          <cell r="D24">
            <v>1016</v>
          </cell>
          <cell r="U24">
            <v>6820</v>
          </cell>
          <cell r="V24">
            <v>6929120</v>
          </cell>
        </row>
        <row r="25">
          <cell r="D25">
            <v>2146</v>
          </cell>
          <cell r="U25">
            <v>8460</v>
          </cell>
          <cell r="V25">
            <v>18155160</v>
          </cell>
        </row>
        <row r="27">
          <cell r="D27">
            <v>1462</v>
          </cell>
          <cell r="U27">
            <v>1110</v>
          </cell>
          <cell r="V27">
            <v>1622820</v>
          </cell>
        </row>
        <row r="28">
          <cell r="U28">
            <v>1900</v>
          </cell>
          <cell r="V28">
            <v>0</v>
          </cell>
        </row>
        <row r="29">
          <cell r="U29">
            <v>610</v>
          </cell>
          <cell r="V29">
            <v>0</v>
          </cell>
        </row>
        <row r="30">
          <cell r="D30">
            <v>52</v>
          </cell>
          <cell r="U30">
            <v>1500</v>
          </cell>
          <cell r="V30">
            <v>78000</v>
          </cell>
        </row>
        <row r="31">
          <cell r="D31">
            <v>1094</v>
          </cell>
          <cell r="U31">
            <v>1210</v>
          </cell>
          <cell r="V31">
            <v>1323740</v>
          </cell>
        </row>
        <row r="32">
          <cell r="U32">
            <v>1110</v>
          </cell>
          <cell r="V32">
            <v>0</v>
          </cell>
        </row>
        <row r="34">
          <cell r="D34">
            <v>12</v>
          </cell>
          <cell r="U34">
            <v>3640</v>
          </cell>
          <cell r="V34">
            <v>43680</v>
          </cell>
        </row>
        <row r="35">
          <cell r="D35">
            <v>720</v>
          </cell>
          <cell r="U35">
            <v>2000</v>
          </cell>
          <cell r="V35">
            <v>1440000</v>
          </cell>
        </row>
        <row r="36">
          <cell r="U36">
            <v>2000</v>
          </cell>
          <cell r="V36">
            <v>0</v>
          </cell>
        </row>
        <row r="37">
          <cell r="D37">
            <v>618</v>
          </cell>
          <cell r="U37">
            <v>610</v>
          </cell>
          <cell r="V37">
            <v>376980</v>
          </cell>
        </row>
        <row r="39">
          <cell r="U39">
            <v>1730</v>
          </cell>
          <cell r="V39">
            <v>0</v>
          </cell>
        </row>
        <row r="40">
          <cell r="D40">
            <v>27</v>
          </cell>
          <cell r="U40">
            <v>1730</v>
          </cell>
          <cell r="V40">
            <v>46710</v>
          </cell>
        </row>
        <row r="41">
          <cell r="U41">
            <v>1000</v>
          </cell>
          <cell r="V41">
            <v>0</v>
          </cell>
        </row>
        <row r="43">
          <cell r="D43">
            <v>265</v>
          </cell>
          <cell r="U43">
            <v>760</v>
          </cell>
          <cell r="V43">
            <v>201400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1350</v>
          </cell>
          <cell r="V47">
            <v>0</v>
          </cell>
        </row>
        <row r="48">
          <cell r="D48">
            <v>497</v>
          </cell>
          <cell r="U48">
            <v>660</v>
          </cell>
          <cell r="V48">
            <v>328020</v>
          </cell>
        </row>
        <row r="49">
          <cell r="D49">
            <v>436</v>
          </cell>
          <cell r="U49">
            <v>2000</v>
          </cell>
          <cell r="V49">
            <v>872000</v>
          </cell>
        </row>
        <row r="50">
          <cell r="D50">
            <v>57</v>
          </cell>
          <cell r="U50">
            <v>15030</v>
          </cell>
          <cell r="V50">
            <v>856710</v>
          </cell>
        </row>
        <row r="51">
          <cell r="D51">
            <v>111</v>
          </cell>
          <cell r="U51">
            <v>34510</v>
          </cell>
          <cell r="V51">
            <v>3830610</v>
          </cell>
        </row>
        <row r="52">
          <cell r="D52">
            <v>30</v>
          </cell>
          <cell r="V52">
            <v>258300</v>
          </cell>
        </row>
        <row r="59">
          <cell r="D59">
            <v>5094</v>
          </cell>
          <cell r="U59">
            <v>33020</v>
          </cell>
          <cell r="V59">
            <v>168203880</v>
          </cell>
        </row>
        <row r="60">
          <cell r="U60">
            <v>30400</v>
          </cell>
          <cell r="V60">
            <v>0</v>
          </cell>
        </row>
        <row r="61">
          <cell r="U61">
            <v>25340</v>
          </cell>
          <cell r="V61">
            <v>0</v>
          </cell>
        </row>
        <row r="62">
          <cell r="D62">
            <v>381</v>
          </cell>
          <cell r="U62">
            <v>137290</v>
          </cell>
          <cell r="V62">
            <v>52307490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113</v>
          </cell>
          <cell r="U65">
            <v>66300</v>
          </cell>
          <cell r="V65">
            <v>7491900</v>
          </cell>
        </row>
        <row r="66">
          <cell r="D66">
            <v>107</v>
          </cell>
          <cell r="V66">
            <v>7094100</v>
          </cell>
        </row>
        <row r="67">
          <cell r="V67">
            <v>0</v>
          </cell>
        </row>
        <row r="68">
          <cell r="D68">
            <v>182</v>
          </cell>
          <cell r="U68">
            <v>59490</v>
          </cell>
          <cell r="V68">
            <v>10827180</v>
          </cell>
        </row>
        <row r="69">
          <cell r="U69">
            <v>16880</v>
          </cell>
          <cell r="V69">
            <v>0</v>
          </cell>
        </row>
        <row r="70">
          <cell r="U70">
            <v>26450</v>
          </cell>
          <cell r="V70">
            <v>0</v>
          </cell>
        </row>
        <row r="71">
          <cell r="U71">
            <v>27530</v>
          </cell>
          <cell r="V71">
            <v>0</v>
          </cell>
        </row>
        <row r="72">
          <cell r="U72">
            <v>11100</v>
          </cell>
          <cell r="V72">
            <v>0</v>
          </cell>
        </row>
        <row r="73">
          <cell r="U73">
            <v>26670</v>
          </cell>
          <cell r="V73">
            <v>0</v>
          </cell>
        </row>
        <row r="74">
          <cell r="U74">
            <v>11100</v>
          </cell>
          <cell r="V74">
            <v>0</v>
          </cell>
        </row>
        <row r="75">
          <cell r="U75">
            <v>4890</v>
          </cell>
          <cell r="V75">
            <v>0</v>
          </cell>
        </row>
        <row r="76">
          <cell r="U76">
            <v>33020</v>
          </cell>
          <cell r="V76">
            <v>0</v>
          </cell>
        </row>
        <row r="77">
          <cell r="U77">
            <v>89270</v>
          </cell>
          <cell r="V77">
            <v>0</v>
          </cell>
        </row>
        <row r="78">
          <cell r="U78">
            <v>10540</v>
          </cell>
          <cell r="V78">
            <v>0</v>
          </cell>
        </row>
        <row r="79">
          <cell r="D79">
            <v>24</v>
          </cell>
          <cell r="U79">
            <v>6410</v>
          </cell>
          <cell r="V79">
            <v>153840</v>
          </cell>
        </row>
        <row r="80">
          <cell r="U80">
            <v>46280</v>
          </cell>
          <cell r="V80">
            <v>0</v>
          </cell>
        </row>
        <row r="81">
          <cell r="U81">
            <v>8120</v>
          </cell>
          <cell r="V81">
            <v>0</v>
          </cell>
        </row>
        <row r="83">
          <cell r="V83">
            <v>21864930</v>
          </cell>
        </row>
        <row r="174">
          <cell r="V174">
            <v>27421310</v>
          </cell>
        </row>
        <row r="243">
          <cell r="V243">
            <v>2899740</v>
          </cell>
        </row>
        <row r="289">
          <cell r="V289">
            <v>0</v>
          </cell>
        </row>
        <row r="295">
          <cell r="V295">
            <v>6464650</v>
          </cell>
        </row>
        <row r="362">
          <cell r="V362">
            <v>8067840</v>
          </cell>
        </row>
        <row r="405">
          <cell r="V405">
            <v>147540</v>
          </cell>
        </row>
        <row r="428">
          <cell r="V428">
            <v>2989180</v>
          </cell>
        </row>
        <row r="446">
          <cell r="V446">
            <v>0</v>
          </cell>
        </row>
        <row r="456">
          <cell r="V456">
            <v>138810</v>
          </cell>
        </row>
        <row r="500">
          <cell r="V500">
            <v>3147700</v>
          </cell>
        </row>
        <row r="535">
          <cell r="V535">
            <v>18200650</v>
          </cell>
        </row>
        <row r="590">
          <cell r="V590">
            <v>23290</v>
          </cell>
        </row>
        <row r="615">
          <cell r="V615">
            <v>34366770</v>
          </cell>
        </row>
        <row r="633">
          <cell r="V633">
            <v>12142330</v>
          </cell>
        </row>
        <row r="634">
          <cell r="V634">
            <v>534450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674</v>
          </cell>
          <cell r="V768">
            <v>4757750</v>
          </cell>
        </row>
        <row r="783">
          <cell r="V783">
            <v>0</v>
          </cell>
        </row>
        <row r="795">
          <cell r="D795">
            <v>149</v>
          </cell>
          <cell r="U795">
            <v>6900</v>
          </cell>
          <cell r="V795">
            <v>1028100</v>
          </cell>
        </row>
        <row r="796">
          <cell r="D796">
            <v>309</v>
          </cell>
          <cell r="U796">
            <v>2700</v>
          </cell>
          <cell r="V796">
            <v>834300</v>
          </cell>
        </row>
        <row r="797">
          <cell r="D797">
            <v>382</v>
          </cell>
          <cell r="U797">
            <v>2700</v>
          </cell>
          <cell r="V797">
            <v>1031400</v>
          </cell>
        </row>
        <row r="798">
          <cell r="D798">
            <v>3</v>
          </cell>
          <cell r="U798">
            <v>10760</v>
          </cell>
          <cell r="V798">
            <v>32280</v>
          </cell>
        </row>
        <row r="799">
          <cell r="D799">
            <v>8</v>
          </cell>
          <cell r="U799">
            <v>12600</v>
          </cell>
          <cell r="V799">
            <v>100800</v>
          </cell>
        </row>
        <row r="800">
          <cell r="U800">
            <v>28580</v>
          </cell>
          <cell r="V800">
            <v>0</v>
          </cell>
        </row>
        <row r="801">
          <cell r="U801">
            <v>3550</v>
          </cell>
          <cell r="V801">
            <v>0</v>
          </cell>
        </row>
        <row r="802">
          <cell r="U802">
            <v>9180</v>
          </cell>
          <cell r="V802">
            <v>0</v>
          </cell>
        </row>
        <row r="805">
          <cell r="D805">
            <v>12</v>
          </cell>
          <cell r="U805">
            <v>14260</v>
          </cell>
          <cell r="V805">
            <v>171120</v>
          </cell>
        </row>
        <row r="806">
          <cell r="U806">
            <v>11400</v>
          </cell>
          <cell r="V806">
            <v>0</v>
          </cell>
        </row>
        <row r="807">
          <cell r="U807">
            <v>386950</v>
          </cell>
          <cell r="V807">
            <v>0</v>
          </cell>
        </row>
        <row r="811">
          <cell r="V811">
            <v>597680</v>
          </cell>
        </row>
        <row r="882">
          <cell r="V882">
            <v>53653210</v>
          </cell>
        </row>
        <row r="961">
          <cell r="V961">
            <v>2014310</v>
          </cell>
        </row>
        <row r="1036">
          <cell r="D1036">
            <v>2</v>
          </cell>
          <cell r="U1036">
            <v>9120</v>
          </cell>
          <cell r="V1036">
            <v>18240</v>
          </cell>
        </row>
        <row r="1037">
          <cell r="V1037">
            <v>654350</v>
          </cell>
        </row>
        <row r="1098">
          <cell r="V1098">
            <v>4030215</v>
          </cell>
        </row>
        <row r="1166">
          <cell r="V1166">
            <v>2619620</v>
          </cell>
        </row>
        <row r="1197">
          <cell r="D1197">
            <v>632</v>
          </cell>
          <cell r="U1197">
            <v>4880</v>
          </cell>
          <cell r="V1197">
            <v>3084160</v>
          </cell>
        </row>
        <row r="1198">
          <cell r="D1198">
            <v>11</v>
          </cell>
          <cell r="U1198">
            <v>13770</v>
          </cell>
          <cell r="V1198">
            <v>151470</v>
          </cell>
        </row>
        <row r="1199">
          <cell r="D1199">
            <v>26</v>
          </cell>
          <cell r="U1199">
            <v>23350</v>
          </cell>
          <cell r="V1199">
            <v>607100</v>
          </cell>
        </row>
        <row r="1200">
          <cell r="U1200">
            <v>44580</v>
          </cell>
          <cell r="V1200">
            <v>0</v>
          </cell>
        </row>
        <row r="1201">
          <cell r="D1201">
            <v>142</v>
          </cell>
          <cell r="U1201">
            <v>49690</v>
          </cell>
          <cell r="V1201">
            <v>7055980</v>
          </cell>
        </row>
        <row r="1202">
          <cell r="U1202">
            <v>27870</v>
          </cell>
          <cell r="V1202">
            <v>0</v>
          </cell>
        </row>
        <row r="1203">
          <cell r="U1203">
            <v>215630</v>
          </cell>
          <cell r="V1203">
            <v>0</v>
          </cell>
        </row>
        <row r="1204">
          <cell r="U1204">
            <v>245140</v>
          </cell>
          <cell r="V1204">
            <v>0</v>
          </cell>
        </row>
        <row r="1205">
          <cell r="U1205">
            <v>199900</v>
          </cell>
          <cell r="V1205">
            <v>0</v>
          </cell>
        </row>
        <row r="1206">
          <cell r="U1206">
            <v>256770</v>
          </cell>
          <cell r="V1206">
            <v>0</v>
          </cell>
        </row>
        <row r="1207">
          <cell r="U1207">
            <v>262730</v>
          </cell>
          <cell r="V1207">
            <v>0</v>
          </cell>
        </row>
        <row r="1208">
          <cell r="U1208">
            <v>222180</v>
          </cell>
          <cell r="V1208">
            <v>0</v>
          </cell>
        </row>
        <row r="1209">
          <cell r="U1209">
            <v>237160</v>
          </cell>
          <cell r="V1209">
            <v>0</v>
          </cell>
        </row>
        <row r="1210">
          <cell r="U1210">
            <v>283580</v>
          </cell>
          <cell r="V1210">
            <v>0</v>
          </cell>
        </row>
        <row r="1211">
          <cell r="U1211">
            <v>251470</v>
          </cell>
          <cell r="V1211">
            <v>0</v>
          </cell>
        </row>
        <row r="1212">
          <cell r="U1212">
            <v>1840310</v>
          </cell>
          <cell r="V1212">
            <v>0</v>
          </cell>
        </row>
        <row r="1213">
          <cell r="U1213">
            <v>1149460</v>
          </cell>
          <cell r="V1213">
            <v>0</v>
          </cell>
        </row>
        <row r="1214">
          <cell r="U1214">
            <v>1112540</v>
          </cell>
          <cell r="V1214">
            <v>0</v>
          </cell>
        </row>
        <row r="1215">
          <cell r="U1215">
            <v>1165530</v>
          </cell>
          <cell r="V1215">
            <v>0</v>
          </cell>
        </row>
        <row r="1216">
          <cell r="U1216">
            <v>164930</v>
          </cell>
          <cell r="V1216">
            <v>0</v>
          </cell>
        </row>
        <row r="1217">
          <cell r="U1217">
            <v>376370</v>
          </cell>
          <cell r="V1217">
            <v>0</v>
          </cell>
        </row>
        <row r="1218">
          <cell r="U1218">
            <v>139530</v>
          </cell>
          <cell r="V1218">
            <v>0</v>
          </cell>
        </row>
        <row r="1219">
          <cell r="U1219">
            <v>1130520</v>
          </cell>
          <cell r="V1219">
            <v>0</v>
          </cell>
        </row>
        <row r="1220">
          <cell r="U1220">
            <v>1130520</v>
          </cell>
          <cell r="V1220">
            <v>0</v>
          </cell>
        </row>
        <row r="1221">
          <cell r="V1221">
            <v>399210</v>
          </cell>
        </row>
        <row r="1287">
          <cell r="V1287">
            <v>521890</v>
          </cell>
        </row>
        <row r="1354">
          <cell r="D1354">
            <v>91</v>
          </cell>
          <cell r="U1354">
            <v>33720</v>
          </cell>
          <cell r="V1354">
            <v>3068520</v>
          </cell>
        </row>
        <row r="1355">
          <cell r="U1355">
            <v>40670</v>
          </cell>
          <cell r="V1355">
            <v>0</v>
          </cell>
        </row>
        <row r="1356">
          <cell r="D1356">
            <v>7</v>
          </cell>
          <cell r="U1356">
            <v>43320</v>
          </cell>
          <cell r="V1356">
            <v>303240</v>
          </cell>
        </row>
        <row r="1357">
          <cell r="V1357">
            <v>33708835</v>
          </cell>
        </row>
        <row r="1441">
          <cell r="V1441">
            <v>1349490</v>
          </cell>
        </row>
        <row r="1481">
          <cell r="U1481">
            <v>41580</v>
          </cell>
          <cell r="V1481">
            <v>0</v>
          </cell>
        </row>
        <row r="1482">
          <cell r="U1482">
            <v>26150</v>
          </cell>
          <cell r="V1482">
            <v>0</v>
          </cell>
        </row>
        <row r="1483">
          <cell r="U1483">
            <v>26930</v>
          </cell>
          <cell r="V1483">
            <v>0</v>
          </cell>
        </row>
        <row r="1484">
          <cell r="U1484">
            <v>808040</v>
          </cell>
          <cell r="V1484">
            <v>0</v>
          </cell>
        </row>
        <row r="1485">
          <cell r="U1485">
            <v>367020</v>
          </cell>
          <cell r="V1485">
            <v>0</v>
          </cell>
        </row>
        <row r="1486">
          <cell r="U1486">
            <v>561210</v>
          </cell>
          <cell r="V1486">
            <v>0</v>
          </cell>
        </row>
        <row r="1487">
          <cell r="U1487">
            <v>50600</v>
          </cell>
          <cell r="V1487">
            <v>0</v>
          </cell>
        </row>
        <row r="1488">
          <cell r="U1488">
            <v>657830</v>
          </cell>
          <cell r="V1488">
            <v>0</v>
          </cell>
        </row>
        <row r="1489">
          <cell r="V1489">
            <v>4741880</v>
          </cell>
        </row>
        <row r="1574">
          <cell r="V1574">
            <v>9900080</v>
          </cell>
        </row>
        <row r="1592">
          <cell r="V1592">
            <v>1641250</v>
          </cell>
        </row>
        <row r="1597">
          <cell r="V1597">
            <v>4856320</v>
          </cell>
        </row>
        <row r="1631">
          <cell r="V1631">
            <v>5038140</v>
          </cell>
        </row>
        <row r="1632">
          <cell r="V1632">
            <v>0</v>
          </cell>
        </row>
        <row r="1633">
          <cell r="D1633">
            <v>12</v>
          </cell>
          <cell r="V1633">
            <v>1169640</v>
          </cell>
        </row>
        <row r="1634">
          <cell r="D1634">
            <v>30</v>
          </cell>
          <cell r="V1634">
            <v>3868500</v>
          </cell>
        </row>
        <row r="1635">
          <cell r="V1635">
            <v>0</v>
          </cell>
        </row>
        <row r="1636">
          <cell r="D1636">
            <v>79</v>
          </cell>
          <cell r="U1636">
            <v>128940</v>
          </cell>
          <cell r="V1636">
            <v>10186260</v>
          </cell>
        </row>
        <row r="1637">
          <cell r="D1637">
            <v>5</v>
          </cell>
          <cell r="U1637">
            <v>135670</v>
          </cell>
          <cell r="V1637">
            <v>678350</v>
          </cell>
        </row>
        <row r="1639">
          <cell r="V1639">
            <v>11085310</v>
          </cell>
        </row>
        <row r="1845">
          <cell r="D1845">
            <v>5</v>
          </cell>
          <cell r="F1845">
            <v>2</v>
          </cell>
          <cell r="G1845">
            <v>0</v>
          </cell>
          <cell r="V1845">
            <v>431080</v>
          </cell>
        </row>
        <row r="1849">
          <cell r="D1849">
            <v>25</v>
          </cell>
          <cell r="V1849">
            <v>1722380</v>
          </cell>
        </row>
        <row r="1861">
          <cell r="D1861">
            <v>6</v>
          </cell>
          <cell r="U1861">
            <v>27970</v>
          </cell>
          <cell r="V1861">
            <v>167820</v>
          </cell>
        </row>
        <row r="1863">
          <cell r="D1863">
            <v>212</v>
          </cell>
          <cell r="U1863">
            <v>18430</v>
          </cell>
          <cell r="V1863">
            <v>3907160</v>
          </cell>
        </row>
        <row r="1864">
          <cell r="D1864">
            <v>181</v>
          </cell>
          <cell r="U1864">
            <v>57970</v>
          </cell>
          <cell r="V1864">
            <v>10492570</v>
          </cell>
        </row>
        <row r="1865">
          <cell r="U1865">
            <v>71860</v>
          </cell>
          <cell r="V1865">
            <v>0</v>
          </cell>
        </row>
        <row r="1866">
          <cell r="D1866">
            <v>132</v>
          </cell>
          <cell r="U1866">
            <v>2520</v>
          </cell>
          <cell r="V1866">
            <v>332640</v>
          </cell>
        </row>
        <row r="1867">
          <cell r="U1867">
            <v>70</v>
          </cell>
          <cell r="V1867">
            <v>0</v>
          </cell>
        </row>
        <row r="1868">
          <cell r="U1868">
            <v>152560</v>
          </cell>
          <cell r="V1868">
            <v>0</v>
          </cell>
        </row>
        <row r="1869">
          <cell r="U1869">
            <v>10370</v>
          </cell>
          <cell r="V1869">
            <v>0</v>
          </cell>
        </row>
        <row r="1871">
          <cell r="V1871">
            <v>4120280</v>
          </cell>
        </row>
        <row r="1889">
          <cell r="V1889">
            <v>5140670</v>
          </cell>
        </row>
        <row r="1914">
          <cell r="V1914">
            <v>2697010</v>
          </cell>
        </row>
        <row r="1941">
          <cell r="D1941">
            <v>375</v>
          </cell>
          <cell r="U1941">
            <v>19310</v>
          </cell>
          <cell r="V1941">
            <v>7241250</v>
          </cell>
        </row>
        <row r="1942">
          <cell r="U1942">
            <v>242060</v>
          </cell>
          <cell r="V1942">
            <v>0</v>
          </cell>
        </row>
        <row r="1944">
          <cell r="U1944">
            <v>247230</v>
          </cell>
          <cell r="V1944">
            <v>0</v>
          </cell>
        </row>
        <row r="1945">
          <cell r="U1945">
            <v>35130</v>
          </cell>
          <cell r="V1945">
            <v>0</v>
          </cell>
        </row>
        <row r="1946">
          <cell r="U1946">
            <v>132520</v>
          </cell>
          <cell r="V1946">
            <v>0</v>
          </cell>
        </row>
        <row r="1947">
          <cell r="U1947">
            <v>132520</v>
          </cell>
          <cell r="V1947">
            <v>0</v>
          </cell>
        </row>
        <row r="1948">
          <cell r="U1948">
            <v>241260</v>
          </cell>
          <cell r="V1948">
            <v>0</v>
          </cell>
        </row>
        <row r="1949">
          <cell r="U1949">
            <v>370240</v>
          </cell>
          <cell r="V1949">
            <v>0</v>
          </cell>
        </row>
        <row r="1950">
          <cell r="U1950">
            <v>631610</v>
          </cell>
          <cell r="V1950">
            <v>0</v>
          </cell>
        </row>
        <row r="1951">
          <cell r="U1951">
            <v>131550</v>
          </cell>
          <cell r="V1951">
            <v>0</v>
          </cell>
        </row>
        <row r="1952">
          <cell r="U1952">
            <v>354560</v>
          </cell>
          <cell r="V1952">
            <v>0</v>
          </cell>
        </row>
        <row r="1953">
          <cell r="U1953">
            <v>149290</v>
          </cell>
          <cell r="V1953">
            <v>0</v>
          </cell>
        </row>
        <row r="1954">
          <cell r="U1954">
            <v>129730</v>
          </cell>
          <cell r="V1954">
            <v>0</v>
          </cell>
        </row>
        <row r="1955">
          <cell r="U1955">
            <v>197230</v>
          </cell>
          <cell r="V1955">
            <v>0</v>
          </cell>
        </row>
        <row r="1956">
          <cell r="U1956">
            <v>51900</v>
          </cell>
          <cell r="V1956">
            <v>0</v>
          </cell>
        </row>
        <row r="1957">
          <cell r="U1957">
            <v>38790</v>
          </cell>
          <cell r="V1957">
            <v>0</v>
          </cell>
        </row>
        <row r="1958">
          <cell r="U1958">
            <v>212700</v>
          </cell>
          <cell r="V1958">
            <v>0</v>
          </cell>
        </row>
        <row r="1959">
          <cell r="U1959">
            <v>1265290</v>
          </cell>
          <cell r="V1959">
            <v>0</v>
          </cell>
        </row>
        <row r="1960">
          <cell r="U1960">
            <v>190900</v>
          </cell>
          <cell r="V1960">
            <v>0</v>
          </cell>
        </row>
        <row r="1961">
          <cell r="U1961">
            <v>168820</v>
          </cell>
          <cell r="V1961">
            <v>0</v>
          </cell>
        </row>
        <row r="1962">
          <cell r="U1962">
            <v>342700</v>
          </cell>
          <cell r="V1962">
            <v>0</v>
          </cell>
        </row>
        <row r="1963">
          <cell r="U1963">
            <v>1139590</v>
          </cell>
          <cell r="V1963">
            <v>0</v>
          </cell>
        </row>
        <row r="1964">
          <cell r="U1964">
            <v>1171120</v>
          </cell>
          <cell r="V1964">
            <v>0</v>
          </cell>
        </row>
        <row r="1965">
          <cell r="U1965">
            <v>927270</v>
          </cell>
          <cell r="V1965">
            <v>0</v>
          </cell>
        </row>
        <row r="1966">
          <cell r="U1966">
            <v>977250</v>
          </cell>
          <cell r="V1966">
            <v>0</v>
          </cell>
        </row>
        <row r="1967">
          <cell r="U1967">
            <v>385520</v>
          </cell>
          <cell r="V1967">
            <v>0</v>
          </cell>
        </row>
        <row r="1968">
          <cell r="U1968">
            <v>92330</v>
          </cell>
          <cell r="V1968">
            <v>0</v>
          </cell>
        </row>
        <row r="1969">
          <cell r="U1969">
            <v>275450</v>
          </cell>
          <cell r="V1969">
            <v>0</v>
          </cell>
        </row>
        <row r="1970">
          <cell r="U1970">
            <v>77880</v>
          </cell>
          <cell r="V1970">
            <v>0</v>
          </cell>
        </row>
        <row r="1971">
          <cell r="U1971">
            <v>1338250</v>
          </cell>
          <cell r="V1971">
            <v>0</v>
          </cell>
        </row>
        <row r="1972">
          <cell r="U1972">
            <v>312910</v>
          </cell>
          <cell r="V1972">
            <v>0</v>
          </cell>
        </row>
        <row r="1973">
          <cell r="U1973">
            <v>1048270</v>
          </cell>
          <cell r="V1973">
            <v>0</v>
          </cell>
        </row>
        <row r="1974">
          <cell r="U1974">
            <v>641750</v>
          </cell>
          <cell r="V1974">
            <v>0</v>
          </cell>
        </row>
        <row r="1975">
          <cell r="U1975">
            <v>523710</v>
          </cell>
          <cell r="V1975">
            <v>0</v>
          </cell>
        </row>
        <row r="1976">
          <cell r="U1976">
            <v>282310</v>
          </cell>
          <cell r="V1976">
            <v>0</v>
          </cell>
        </row>
        <row r="1977">
          <cell r="U1977">
            <v>164590</v>
          </cell>
          <cell r="V1977">
            <v>0</v>
          </cell>
        </row>
        <row r="1978">
          <cell r="U1978">
            <v>397700</v>
          </cell>
          <cell r="V1978">
            <v>0</v>
          </cell>
        </row>
        <row r="1979">
          <cell r="U1979">
            <v>412140</v>
          </cell>
          <cell r="V1979">
            <v>0</v>
          </cell>
        </row>
        <row r="1980">
          <cell r="U1980">
            <v>257530</v>
          </cell>
          <cell r="V1980">
            <v>0</v>
          </cell>
        </row>
        <row r="1981">
          <cell r="D1981">
            <v>85</v>
          </cell>
          <cell r="U1981">
            <v>35020</v>
          </cell>
          <cell r="V1981">
            <v>2976700</v>
          </cell>
        </row>
        <row r="1983">
          <cell r="D1983">
            <v>1</v>
          </cell>
          <cell r="U1983">
            <v>6890</v>
          </cell>
          <cell r="V1983">
            <v>6890</v>
          </cell>
        </row>
        <row r="1984">
          <cell r="U1984">
            <v>3670</v>
          </cell>
          <cell r="V1984">
            <v>0</v>
          </cell>
        </row>
        <row r="1985">
          <cell r="U1985">
            <v>13830</v>
          </cell>
          <cell r="V1985">
            <v>0</v>
          </cell>
        </row>
        <row r="1986">
          <cell r="U1986">
            <v>141790</v>
          </cell>
          <cell r="V1986">
            <v>0</v>
          </cell>
        </row>
        <row r="1987">
          <cell r="D1987">
            <v>1</v>
          </cell>
          <cell r="U1987">
            <v>778770</v>
          </cell>
          <cell r="V1987">
            <v>778770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0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2014</v>
          </cell>
        </row>
        <row r="11">
          <cell r="B11" t="str">
            <v xml:space="preserve">DR. FRANCISCO MARTINEZ CAVALLA </v>
          </cell>
        </row>
        <row r="12">
          <cell r="A12" t="str">
            <v>Jefe de Estadisticas</v>
          </cell>
          <cell r="B12" t="str">
            <v xml:space="preserve">SRA. MARIA INES NUÑEZ GONZALEZ </v>
          </cell>
        </row>
      </sheetData>
      <sheetData sheetId="1"/>
      <sheetData sheetId="2">
        <row r="12">
          <cell r="D12">
            <v>61855</v>
          </cell>
        </row>
        <row r="13">
          <cell r="D13">
            <v>23641</v>
          </cell>
        </row>
        <row r="14">
          <cell r="D14">
            <v>28344</v>
          </cell>
        </row>
        <row r="15">
          <cell r="D15">
            <v>987</v>
          </cell>
        </row>
        <row r="16">
          <cell r="D16">
            <v>0</v>
          </cell>
        </row>
        <row r="17">
          <cell r="D17">
            <v>1448</v>
          </cell>
        </row>
        <row r="18">
          <cell r="D18">
            <v>4724</v>
          </cell>
        </row>
        <row r="19">
          <cell r="D19">
            <v>4005</v>
          </cell>
        </row>
        <row r="20">
          <cell r="D20">
            <v>42</v>
          </cell>
        </row>
        <row r="21">
          <cell r="D21">
            <v>677</v>
          </cell>
        </row>
        <row r="22">
          <cell r="D22">
            <v>0</v>
          </cell>
        </row>
        <row r="23">
          <cell r="D23">
            <v>60</v>
          </cell>
        </row>
        <row r="24">
          <cell r="D24">
            <v>2651</v>
          </cell>
        </row>
        <row r="25">
          <cell r="D25">
            <v>3987</v>
          </cell>
        </row>
        <row r="26">
          <cell r="D26">
            <v>2545</v>
          </cell>
        </row>
        <row r="27">
          <cell r="D27">
            <v>10</v>
          </cell>
        </row>
        <row r="28">
          <cell r="D28">
            <v>561</v>
          </cell>
        </row>
        <row r="30">
          <cell r="D30">
            <v>389</v>
          </cell>
        </row>
        <row r="31">
          <cell r="D31">
            <v>260</v>
          </cell>
        </row>
        <row r="32">
          <cell r="D32">
            <v>222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208</v>
          </cell>
          <cell r="G69">
            <v>0</v>
          </cell>
          <cell r="H69">
            <v>0</v>
          </cell>
        </row>
        <row r="70">
          <cell r="F70">
            <v>21</v>
          </cell>
          <cell r="G70">
            <v>3</v>
          </cell>
          <cell r="H70">
            <v>0</v>
          </cell>
        </row>
        <row r="71">
          <cell r="F71">
            <v>5</v>
          </cell>
          <cell r="G71">
            <v>1</v>
          </cell>
          <cell r="H71">
            <v>0</v>
          </cell>
        </row>
        <row r="72">
          <cell r="F72">
            <v>72</v>
          </cell>
          <cell r="G72">
            <v>1</v>
          </cell>
          <cell r="H72">
            <v>0</v>
          </cell>
        </row>
        <row r="73">
          <cell r="F73">
            <v>154</v>
          </cell>
          <cell r="G73">
            <v>2</v>
          </cell>
          <cell r="H73">
            <v>0</v>
          </cell>
        </row>
        <row r="74">
          <cell r="F74">
            <v>6</v>
          </cell>
          <cell r="G74">
            <v>0</v>
          </cell>
          <cell r="H74">
            <v>0</v>
          </cell>
        </row>
        <row r="75">
          <cell r="F75">
            <v>1</v>
          </cell>
          <cell r="G75">
            <v>0</v>
          </cell>
          <cell r="H75">
            <v>0</v>
          </cell>
        </row>
        <row r="76">
          <cell r="F76">
            <v>170</v>
          </cell>
          <cell r="G76">
            <v>7</v>
          </cell>
          <cell r="H76">
            <v>0</v>
          </cell>
        </row>
        <row r="77">
          <cell r="F77">
            <v>12</v>
          </cell>
          <cell r="G77">
            <v>0</v>
          </cell>
          <cell r="H77">
            <v>0</v>
          </cell>
        </row>
        <row r="78">
          <cell r="F78">
            <v>28</v>
          </cell>
          <cell r="G78">
            <v>1</v>
          </cell>
          <cell r="H78">
            <v>0</v>
          </cell>
        </row>
        <row r="79">
          <cell r="F79">
            <v>8</v>
          </cell>
          <cell r="G79">
            <v>0</v>
          </cell>
          <cell r="H79">
            <v>0</v>
          </cell>
        </row>
        <row r="80">
          <cell r="F80">
            <v>38</v>
          </cell>
          <cell r="G80">
            <v>3</v>
          </cell>
          <cell r="H80">
            <v>0</v>
          </cell>
        </row>
        <row r="81">
          <cell r="F81">
            <v>60</v>
          </cell>
          <cell r="G81">
            <v>0</v>
          </cell>
          <cell r="H81">
            <v>0</v>
          </cell>
        </row>
        <row r="82">
          <cell r="F82">
            <v>44</v>
          </cell>
          <cell r="G82">
            <v>1</v>
          </cell>
          <cell r="H82">
            <v>0</v>
          </cell>
        </row>
        <row r="130">
          <cell r="E130">
            <v>1551</v>
          </cell>
        </row>
      </sheetData>
      <sheetData sheetId="3">
        <row r="13">
          <cell r="U13">
            <v>4050</v>
          </cell>
          <cell r="V13">
            <v>0</v>
          </cell>
        </row>
        <row r="14">
          <cell r="U14">
            <v>5090</v>
          </cell>
          <cell r="V14">
            <v>0</v>
          </cell>
        </row>
        <row r="15">
          <cell r="D15">
            <v>6627</v>
          </cell>
          <cell r="U15">
            <v>10920</v>
          </cell>
          <cell r="V15">
            <v>72366840</v>
          </cell>
        </row>
        <row r="16">
          <cell r="U16">
            <v>6520</v>
          </cell>
          <cell r="V16">
            <v>0</v>
          </cell>
        </row>
        <row r="17">
          <cell r="U17">
            <v>7160</v>
          </cell>
          <cell r="V17">
            <v>0</v>
          </cell>
        </row>
        <row r="18">
          <cell r="U18">
            <v>13700</v>
          </cell>
          <cell r="V18">
            <v>0</v>
          </cell>
        </row>
        <row r="19">
          <cell r="D19">
            <v>48</v>
          </cell>
          <cell r="U19">
            <v>13700</v>
          </cell>
          <cell r="V19">
            <v>657600</v>
          </cell>
        </row>
        <row r="20">
          <cell r="U20">
            <v>5520</v>
          </cell>
          <cell r="V20">
            <v>0</v>
          </cell>
        </row>
        <row r="21">
          <cell r="U21">
            <v>6620</v>
          </cell>
          <cell r="V21">
            <v>0</v>
          </cell>
        </row>
        <row r="22">
          <cell r="U22">
            <v>8210</v>
          </cell>
          <cell r="V22">
            <v>0</v>
          </cell>
        </row>
        <row r="23">
          <cell r="D23">
            <v>1239</v>
          </cell>
          <cell r="U23">
            <v>5520</v>
          </cell>
          <cell r="V23">
            <v>6839280</v>
          </cell>
        </row>
        <row r="24">
          <cell r="D24">
            <v>868</v>
          </cell>
          <cell r="U24">
            <v>6620</v>
          </cell>
          <cell r="V24">
            <v>5746160</v>
          </cell>
        </row>
        <row r="25">
          <cell r="D25">
            <v>2070</v>
          </cell>
          <cell r="U25">
            <v>8210</v>
          </cell>
          <cell r="V25">
            <v>16994700</v>
          </cell>
        </row>
        <row r="27">
          <cell r="D27">
            <v>1753</v>
          </cell>
          <cell r="U27">
            <v>1080</v>
          </cell>
          <cell r="V27">
            <v>1893240</v>
          </cell>
        </row>
        <row r="28">
          <cell r="U28">
            <v>1840</v>
          </cell>
          <cell r="V28">
            <v>0</v>
          </cell>
        </row>
        <row r="29">
          <cell r="U29">
            <v>590</v>
          </cell>
          <cell r="V29">
            <v>0</v>
          </cell>
        </row>
        <row r="30">
          <cell r="D30">
            <v>90</v>
          </cell>
          <cell r="U30">
            <v>1460</v>
          </cell>
          <cell r="V30">
            <v>131400</v>
          </cell>
        </row>
        <row r="31">
          <cell r="D31">
            <v>728</v>
          </cell>
          <cell r="U31">
            <v>1170</v>
          </cell>
          <cell r="V31">
            <v>851760</v>
          </cell>
        </row>
        <row r="32">
          <cell r="U32">
            <v>1080</v>
          </cell>
          <cell r="V32">
            <v>0</v>
          </cell>
        </row>
        <row r="34">
          <cell r="U34">
            <v>3530</v>
          </cell>
          <cell r="V34">
            <v>0</v>
          </cell>
        </row>
        <row r="35">
          <cell r="D35">
            <v>618</v>
          </cell>
          <cell r="U35">
            <v>1940</v>
          </cell>
          <cell r="V35">
            <v>1198920</v>
          </cell>
        </row>
        <row r="36">
          <cell r="U36">
            <v>1940</v>
          </cell>
          <cell r="V36">
            <v>0</v>
          </cell>
        </row>
        <row r="37">
          <cell r="D37">
            <v>618</v>
          </cell>
          <cell r="U37">
            <v>590</v>
          </cell>
          <cell r="V37">
            <v>364620</v>
          </cell>
        </row>
        <row r="39">
          <cell r="D39">
            <v>9</v>
          </cell>
          <cell r="U39">
            <v>1680</v>
          </cell>
          <cell r="V39">
            <v>15120</v>
          </cell>
        </row>
        <row r="40">
          <cell r="D40">
            <v>6</v>
          </cell>
          <cell r="U40">
            <v>1680</v>
          </cell>
          <cell r="V40">
            <v>10080</v>
          </cell>
        </row>
        <row r="41">
          <cell r="U41">
            <v>970</v>
          </cell>
          <cell r="V41">
            <v>0</v>
          </cell>
        </row>
        <row r="43">
          <cell r="D43">
            <v>226</v>
          </cell>
          <cell r="U43">
            <v>740</v>
          </cell>
          <cell r="V43">
            <v>167240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1310</v>
          </cell>
          <cell r="V47">
            <v>0</v>
          </cell>
        </row>
        <row r="48">
          <cell r="D48">
            <v>558</v>
          </cell>
          <cell r="U48">
            <v>640</v>
          </cell>
          <cell r="V48">
            <v>357120</v>
          </cell>
        </row>
        <row r="49">
          <cell r="D49">
            <v>306</v>
          </cell>
          <cell r="U49">
            <v>1940</v>
          </cell>
          <cell r="V49">
            <v>593640</v>
          </cell>
        </row>
        <row r="50">
          <cell r="D50">
            <v>54</v>
          </cell>
          <cell r="U50">
            <v>14590</v>
          </cell>
          <cell r="V50">
            <v>787860</v>
          </cell>
        </row>
        <row r="51">
          <cell r="D51">
            <v>92</v>
          </cell>
          <cell r="U51">
            <v>33500</v>
          </cell>
          <cell r="V51">
            <v>3082000</v>
          </cell>
        </row>
        <row r="52">
          <cell r="D52">
            <v>14</v>
          </cell>
          <cell r="V52">
            <v>117040</v>
          </cell>
        </row>
        <row r="59">
          <cell r="D59">
            <v>4925</v>
          </cell>
          <cell r="U59">
            <v>32060</v>
          </cell>
          <cell r="V59">
            <v>157895500</v>
          </cell>
        </row>
        <row r="60">
          <cell r="U60">
            <v>29510</v>
          </cell>
          <cell r="V60">
            <v>0</v>
          </cell>
        </row>
        <row r="61">
          <cell r="U61">
            <v>24600</v>
          </cell>
          <cell r="V61">
            <v>0</v>
          </cell>
        </row>
        <row r="62">
          <cell r="D62">
            <v>221</v>
          </cell>
          <cell r="U62">
            <v>133290</v>
          </cell>
          <cell r="V62">
            <v>29457090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163</v>
          </cell>
          <cell r="U65">
            <v>64370</v>
          </cell>
          <cell r="V65">
            <v>10492310</v>
          </cell>
        </row>
        <row r="66">
          <cell r="D66">
            <v>67</v>
          </cell>
          <cell r="V66">
            <v>4312790</v>
          </cell>
        </row>
        <row r="67">
          <cell r="V67">
            <v>0</v>
          </cell>
        </row>
        <row r="68">
          <cell r="D68">
            <v>165</v>
          </cell>
          <cell r="U68">
            <v>57760</v>
          </cell>
          <cell r="V68">
            <v>9530400</v>
          </cell>
        </row>
        <row r="69">
          <cell r="U69">
            <v>16390</v>
          </cell>
          <cell r="V69">
            <v>0</v>
          </cell>
        </row>
        <row r="70">
          <cell r="U70">
            <v>25680</v>
          </cell>
          <cell r="V70">
            <v>0</v>
          </cell>
        </row>
        <row r="71">
          <cell r="U71">
            <v>26730</v>
          </cell>
          <cell r="V71">
            <v>0</v>
          </cell>
        </row>
        <row r="72">
          <cell r="U72">
            <v>10780</v>
          </cell>
          <cell r="V72">
            <v>0</v>
          </cell>
        </row>
        <row r="73">
          <cell r="U73">
            <v>25890</v>
          </cell>
          <cell r="V73">
            <v>0</v>
          </cell>
        </row>
        <row r="74">
          <cell r="U74">
            <v>10780</v>
          </cell>
          <cell r="V74">
            <v>0</v>
          </cell>
        </row>
        <row r="75">
          <cell r="D75">
            <v>5</v>
          </cell>
          <cell r="U75">
            <v>4750</v>
          </cell>
          <cell r="V75">
            <v>23750</v>
          </cell>
        </row>
        <row r="76">
          <cell r="U76">
            <v>32060</v>
          </cell>
          <cell r="V76">
            <v>0</v>
          </cell>
        </row>
        <row r="77">
          <cell r="U77">
            <v>86670</v>
          </cell>
          <cell r="V77">
            <v>0</v>
          </cell>
        </row>
        <row r="78">
          <cell r="U78">
            <v>10230</v>
          </cell>
          <cell r="V78">
            <v>0</v>
          </cell>
        </row>
        <row r="79">
          <cell r="D79">
            <v>37</v>
          </cell>
          <cell r="U79">
            <v>6220</v>
          </cell>
          <cell r="V79">
            <v>230140</v>
          </cell>
        </row>
        <row r="80">
          <cell r="U80">
            <v>44930</v>
          </cell>
          <cell r="V80">
            <v>0</v>
          </cell>
        </row>
        <row r="81">
          <cell r="U81">
            <v>7880</v>
          </cell>
          <cell r="V81">
            <v>0</v>
          </cell>
        </row>
        <row r="83">
          <cell r="V83">
            <v>24387920</v>
          </cell>
        </row>
        <row r="174">
          <cell r="V174">
            <v>32526320</v>
          </cell>
        </row>
        <row r="243">
          <cell r="V243">
            <v>3338410</v>
          </cell>
        </row>
        <row r="289">
          <cell r="V289">
            <v>0</v>
          </cell>
        </row>
        <row r="295">
          <cell r="V295">
            <v>6698840</v>
          </cell>
        </row>
        <row r="362">
          <cell r="V362">
            <v>8981710</v>
          </cell>
        </row>
        <row r="405">
          <cell r="V405">
            <v>115480</v>
          </cell>
        </row>
        <row r="428">
          <cell r="V428">
            <v>2691780</v>
          </cell>
        </row>
        <row r="446">
          <cell r="V446">
            <v>0</v>
          </cell>
        </row>
        <row r="456">
          <cell r="V456">
            <v>130140</v>
          </cell>
        </row>
        <row r="500">
          <cell r="V500">
            <v>2660040</v>
          </cell>
        </row>
        <row r="535">
          <cell r="V535">
            <v>19730420</v>
          </cell>
        </row>
        <row r="590">
          <cell r="V590">
            <v>591200</v>
          </cell>
        </row>
        <row r="615">
          <cell r="V615">
            <v>27727090</v>
          </cell>
        </row>
        <row r="633">
          <cell r="V633">
            <v>12306740</v>
          </cell>
        </row>
        <row r="634">
          <cell r="V634">
            <v>1284400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623</v>
          </cell>
          <cell r="V768">
            <v>4264730</v>
          </cell>
        </row>
        <row r="783">
          <cell r="V783">
            <v>0</v>
          </cell>
        </row>
        <row r="795">
          <cell r="D795">
            <v>196</v>
          </cell>
          <cell r="U795">
            <v>6700</v>
          </cell>
          <cell r="V795">
            <v>1313200</v>
          </cell>
        </row>
        <row r="796">
          <cell r="D796">
            <v>291</v>
          </cell>
          <cell r="U796">
            <v>2620</v>
          </cell>
          <cell r="V796">
            <v>762420</v>
          </cell>
        </row>
        <row r="797">
          <cell r="D797">
            <v>381</v>
          </cell>
          <cell r="U797">
            <v>2620</v>
          </cell>
          <cell r="V797">
            <v>998220</v>
          </cell>
        </row>
        <row r="798">
          <cell r="U798">
            <v>10450</v>
          </cell>
          <cell r="V798">
            <v>0</v>
          </cell>
        </row>
        <row r="799">
          <cell r="D799">
            <v>27</v>
          </cell>
          <cell r="U799">
            <v>12230</v>
          </cell>
          <cell r="V799">
            <v>330210</v>
          </cell>
        </row>
        <row r="800">
          <cell r="U800">
            <v>27750</v>
          </cell>
          <cell r="V800">
            <v>0</v>
          </cell>
        </row>
        <row r="801">
          <cell r="U801">
            <v>3450</v>
          </cell>
          <cell r="V801">
            <v>0</v>
          </cell>
        </row>
        <row r="802">
          <cell r="U802">
            <v>8909</v>
          </cell>
          <cell r="V802">
            <v>0</v>
          </cell>
        </row>
        <row r="805">
          <cell r="U805">
            <v>13840</v>
          </cell>
          <cell r="V805">
            <v>0</v>
          </cell>
        </row>
        <row r="806">
          <cell r="D806">
            <v>17</v>
          </cell>
          <cell r="U806">
            <v>11070</v>
          </cell>
          <cell r="V806">
            <v>188190</v>
          </cell>
        </row>
        <row r="807">
          <cell r="U807">
            <v>375680</v>
          </cell>
          <cell r="V807">
            <v>0</v>
          </cell>
        </row>
        <row r="811">
          <cell r="V811">
            <v>0</v>
          </cell>
        </row>
        <row r="882">
          <cell r="V882">
            <v>72231540</v>
          </cell>
        </row>
        <row r="961">
          <cell r="V961">
            <v>1624240</v>
          </cell>
        </row>
        <row r="1036">
          <cell r="U1036">
            <v>8850</v>
          </cell>
          <cell r="V1036">
            <v>0</v>
          </cell>
        </row>
        <row r="1037">
          <cell r="V1037">
            <v>820320</v>
          </cell>
        </row>
        <row r="1098">
          <cell r="V1098">
            <v>3475105</v>
          </cell>
        </row>
        <row r="1166">
          <cell r="V1166">
            <v>3342865</v>
          </cell>
        </row>
        <row r="1197">
          <cell r="D1197">
            <v>659</v>
          </cell>
          <cell r="U1197">
            <v>4740</v>
          </cell>
          <cell r="V1197">
            <v>3123660</v>
          </cell>
        </row>
        <row r="1198">
          <cell r="D1198">
            <v>7</v>
          </cell>
          <cell r="U1198">
            <v>13370</v>
          </cell>
          <cell r="V1198">
            <v>93590</v>
          </cell>
        </row>
        <row r="1199">
          <cell r="D1199">
            <v>14</v>
          </cell>
          <cell r="U1199">
            <v>22670</v>
          </cell>
          <cell r="V1199">
            <v>317380</v>
          </cell>
        </row>
        <row r="1200">
          <cell r="U1200">
            <v>43280</v>
          </cell>
          <cell r="V1200">
            <v>0</v>
          </cell>
        </row>
        <row r="1201">
          <cell r="D1201">
            <v>41</v>
          </cell>
          <cell r="U1201">
            <v>48240</v>
          </cell>
          <cell r="V1201">
            <v>1977840</v>
          </cell>
        </row>
        <row r="1202">
          <cell r="U1202">
            <v>27060</v>
          </cell>
          <cell r="V1202">
            <v>0</v>
          </cell>
        </row>
        <row r="1203">
          <cell r="U1203">
            <v>209350</v>
          </cell>
          <cell r="V1203">
            <v>0</v>
          </cell>
        </row>
        <row r="1204">
          <cell r="U1204">
            <v>238000</v>
          </cell>
          <cell r="V1204">
            <v>0</v>
          </cell>
        </row>
        <row r="1205">
          <cell r="U1205">
            <v>194080</v>
          </cell>
          <cell r="V1205">
            <v>0</v>
          </cell>
        </row>
        <row r="1206">
          <cell r="U1206">
            <v>249290</v>
          </cell>
          <cell r="V1206">
            <v>0</v>
          </cell>
        </row>
        <row r="1207">
          <cell r="U1207">
            <v>255080</v>
          </cell>
          <cell r="V1207">
            <v>0</v>
          </cell>
        </row>
        <row r="1208">
          <cell r="U1208">
            <v>215710</v>
          </cell>
          <cell r="V1208">
            <v>0</v>
          </cell>
        </row>
        <row r="1209">
          <cell r="U1209">
            <v>230250</v>
          </cell>
          <cell r="V1209">
            <v>0</v>
          </cell>
        </row>
        <row r="1210">
          <cell r="U1210">
            <v>275320</v>
          </cell>
          <cell r="V1210">
            <v>0</v>
          </cell>
        </row>
        <row r="1211">
          <cell r="U1211">
            <v>244150</v>
          </cell>
          <cell r="V1211">
            <v>0</v>
          </cell>
        </row>
        <row r="1212">
          <cell r="U1212">
            <v>1786710</v>
          </cell>
          <cell r="V1212">
            <v>0</v>
          </cell>
        </row>
        <row r="1213">
          <cell r="U1213">
            <v>1115980</v>
          </cell>
          <cell r="V1213">
            <v>0</v>
          </cell>
        </row>
        <row r="1214">
          <cell r="U1214">
            <v>1080140</v>
          </cell>
          <cell r="V1214">
            <v>0</v>
          </cell>
        </row>
        <row r="1215">
          <cell r="U1215">
            <v>1131580</v>
          </cell>
          <cell r="V1215">
            <v>0</v>
          </cell>
        </row>
        <row r="1216">
          <cell r="U1216">
            <v>160130</v>
          </cell>
          <cell r="V1216">
            <v>0</v>
          </cell>
        </row>
        <row r="1217">
          <cell r="U1217">
            <v>365410</v>
          </cell>
          <cell r="V1217">
            <v>0</v>
          </cell>
        </row>
        <row r="1218">
          <cell r="U1218">
            <v>135470</v>
          </cell>
          <cell r="V1218">
            <v>0</v>
          </cell>
        </row>
        <row r="1219">
          <cell r="U1219">
            <v>1097590</v>
          </cell>
          <cell r="V1219">
            <v>0</v>
          </cell>
        </row>
        <row r="1220">
          <cell r="U1220">
            <v>1097590</v>
          </cell>
          <cell r="V1220">
            <v>0</v>
          </cell>
        </row>
        <row r="1221">
          <cell r="V1221">
            <v>960940</v>
          </cell>
        </row>
        <row r="1287">
          <cell r="V1287">
            <v>51080</v>
          </cell>
        </row>
        <row r="1354">
          <cell r="D1354">
            <v>50</v>
          </cell>
          <cell r="U1354">
            <v>32740</v>
          </cell>
          <cell r="V1354">
            <v>1637000</v>
          </cell>
        </row>
        <row r="1355">
          <cell r="U1355">
            <v>39490</v>
          </cell>
          <cell r="V1355">
            <v>0</v>
          </cell>
        </row>
        <row r="1356">
          <cell r="D1356">
            <v>5</v>
          </cell>
          <cell r="U1356">
            <v>42060</v>
          </cell>
          <cell r="V1356">
            <v>210300</v>
          </cell>
        </row>
        <row r="1357">
          <cell r="V1357">
            <v>39409570</v>
          </cell>
        </row>
        <row r="1441">
          <cell r="V1441">
            <v>1061570</v>
          </cell>
        </row>
        <row r="1481">
          <cell r="U1481">
            <v>40370</v>
          </cell>
          <cell r="V1481">
            <v>0</v>
          </cell>
        </row>
        <row r="1482">
          <cell r="U1482">
            <v>25390</v>
          </cell>
          <cell r="V1482">
            <v>0</v>
          </cell>
        </row>
        <row r="1483">
          <cell r="U1483">
            <v>26150</v>
          </cell>
          <cell r="V1483">
            <v>0</v>
          </cell>
        </row>
        <row r="1484">
          <cell r="U1484">
            <v>784500</v>
          </cell>
          <cell r="V1484">
            <v>0</v>
          </cell>
        </row>
        <row r="1485">
          <cell r="U1485">
            <v>356330</v>
          </cell>
          <cell r="V1485">
            <v>0</v>
          </cell>
        </row>
        <row r="1486">
          <cell r="U1486">
            <v>544860</v>
          </cell>
          <cell r="V1486">
            <v>0</v>
          </cell>
        </row>
        <row r="1487">
          <cell r="U1487">
            <v>49130</v>
          </cell>
          <cell r="V1487">
            <v>0</v>
          </cell>
        </row>
        <row r="1488">
          <cell r="U1488">
            <v>638670</v>
          </cell>
          <cell r="V1488">
            <v>0</v>
          </cell>
        </row>
        <row r="1489">
          <cell r="V1489">
            <v>4644585</v>
          </cell>
        </row>
        <row r="1574">
          <cell r="V1574">
            <v>13125620</v>
          </cell>
        </row>
        <row r="1592">
          <cell r="V1592">
            <v>1943040</v>
          </cell>
        </row>
        <row r="1597">
          <cell r="V1597">
            <v>7246640</v>
          </cell>
        </row>
        <row r="1631">
          <cell r="V1631">
            <v>6777960</v>
          </cell>
        </row>
        <row r="1632">
          <cell r="V1632">
            <v>0</v>
          </cell>
        </row>
        <row r="1633">
          <cell r="D1633">
            <v>24</v>
          </cell>
          <cell r="V1633">
            <v>2271120</v>
          </cell>
        </row>
        <row r="1634">
          <cell r="D1634">
            <v>36</v>
          </cell>
          <cell r="V1634">
            <v>4506840</v>
          </cell>
        </row>
        <row r="1635">
          <cell r="V1635">
            <v>0</v>
          </cell>
        </row>
        <row r="1636">
          <cell r="D1636">
            <v>89</v>
          </cell>
          <cell r="U1636">
            <v>125180</v>
          </cell>
          <cell r="V1636">
            <v>11141020</v>
          </cell>
        </row>
        <row r="1637">
          <cell r="D1637">
            <v>3</v>
          </cell>
          <cell r="U1637">
            <v>131720</v>
          </cell>
          <cell r="V1637">
            <v>395160</v>
          </cell>
        </row>
        <row r="1639">
          <cell r="V1639">
            <v>7939880</v>
          </cell>
        </row>
        <row r="1845">
          <cell r="D1845">
            <v>3</v>
          </cell>
          <cell r="F1845">
            <v>0</v>
          </cell>
          <cell r="G1845">
            <v>0</v>
          </cell>
          <cell r="V1845">
            <v>157080</v>
          </cell>
        </row>
        <row r="1849">
          <cell r="D1849">
            <v>35</v>
          </cell>
          <cell r="V1849">
            <v>2351710</v>
          </cell>
        </row>
        <row r="1861">
          <cell r="D1861">
            <v>22</v>
          </cell>
          <cell r="U1861">
            <v>27160</v>
          </cell>
          <cell r="V1861">
            <v>597520</v>
          </cell>
        </row>
        <row r="1863">
          <cell r="D1863">
            <v>222</v>
          </cell>
          <cell r="U1863">
            <v>17890</v>
          </cell>
          <cell r="V1863">
            <v>3971580</v>
          </cell>
        </row>
        <row r="1864">
          <cell r="D1864">
            <v>194</v>
          </cell>
          <cell r="U1864">
            <v>56280</v>
          </cell>
          <cell r="V1864">
            <v>10918320</v>
          </cell>
        </row>
        <row r="1865">
          <cell r="U1865">
            <v>69770</v>
          </cell>
          <cell r="V1865">
            <v>0</v>
          </cell>
        </row>
        <row r="1866">
          <cell r="D1866">
            <v>161</v>
          </cell>
          <cell r="U1866">
            <v>2450</v>
          </cell>
          <cell r="V1866">
            <v>394450</v>
          </cell>
        </row>
        <row r="1867">
          <cell r="U1867">
            <v>70</v>
          </cell>
          <cell r="V1867">
            <v>0</v>
          </cell>
        </row>
        <row r="1868">
          <cell r="U1868">
            <v>148120</v>
          </cell>
          <cell r="V1868">
            <v>0</v>
          </cell>
        </row>
        <row r="1869">
          <cell r="U1869">
            <v>10070</v>
          </cell>
          <cell r="V1869">
            <v>0</v>
          </cell>
        </row>
        <row r="1871">
          <cell r="V1871">
            <v>4508050</v>
          </cell>
        </row>
        <row r="1889">
          <cell r="V1889">
            <v>9508190</v>
          </cell>
        </row>
        <row r="1914">
          <cell r="V1914">
            <v>1288160</v>
          </cell>
        </row>
        <row r="1941">
          <cell r="D1941">
            <v>652</v>
          </cell>
          <cell r="U1941">
            <v>18750</v>
          </cell>
          <cell r="V1941">
            <v>12225000</v>
          </cell>
        </row>
        <row r="1942">
          <cell r="U1942">
            <v>235010</v>
          </cell>
          <cell r="V1942">
            <v>0</v>
          </cell>
        </row>
        <row r="1944">
          <cell r="U1944">
            <v>240030</v>
          </cell>
          <cell r="V1944">
            <v>0</v>
          </cell>
        </row>
        <row r="1945">
          <cell r="U1945">
            <v>34110</v>
          </cell>
          <cell r="V1945">
            <v>0</v>
          </cell>
        </row>
        <row r="1946">
          <cell r="U1946">
            <v>128660</v>
          </cell>
          <cell r="V1946">
            <v>0</v>
          </cell>
        </row>
        <row r="1947">
          <cell r="U1947">
            <v>128660</v>
          </cell>
          <cell r="V1947">
            <v>0</v>
          </cell>
        </row>
        <row r="1948">
          <cell r="U1948">
            <v>234230</v>
          </cell>
          <cell r="V1948">
            <v>0</v>
          </cell>
        </row>
        <row r="1949">
          <cell r="U1949">
            <v>359460</v>
          </cell>
          <cell r="V1949">
            <v>0</v>
          </cell>
        </row>
        <row r="1950">
          <cell r="U1950">
            <v>613210</v>
          </cell>
          <cell r="V1950">
            <v>0</v>
          </cell>
        </row>
        <row r="1951">
          <cell r="U1951">
            <v>127720</v>
          </cell>
          <cell r="V1951">
            <v>0</v>
          </cell>
        </row>
        <row r="1952">
          <cell r="U1952">
            <v>344230</v>
          </cell>
          <cell r="V1952">
            <v>0</v>
          </cell>
        </row>
        <row r="1953">
          <cell r="U1953">
            <v>144940</v>
          </cell>
          <cell r="V1953">
            <v>0</v>
          </cell>
        </row>
        <row r="1954">
          <cell r="U1954">
            <v>125950</v>
          </cell>
          <cell r="V1954">
            <v>0</v>
          </cell>
        </row>
        <row r="1955">
          <cell r="U1955">
            <v>191490</v>
          </cell>
          <cell r="V1955">
            <v>0</v>
          </cell>
        </row>
        <row r="1956">
          <cell r="U1956">
            <v>50390</v>
          </cell>
          <cell r="V1956">
            <v>0</v>
          </cell>
        </row>
        <row r="1957">
          <cell r="U1957">
            <v>37660</v>
          </cell>
          <cell r="V1957">
            <v>0</v>
          </cell>
        </row>
        <row r="1958">
          <cell r="U1958">
            <v>206500</v>
          </cell>
          <cell r="V1958">
            <v>0</v>
          </cell>
        </row>
        <row r="1959">
          <cell r="U1959">
            <v>1228440</v>
          </cell>
          <cell r="V1959">
            <v>0</v>
          </cell>
        </row>
        <row r="1960">
          <cell r="U1960">
            <v>185340</v>
          </cell>
          <cell r="V1960">
            <v>0</v>
          </cell>
        </row>
        <row r="1961">
          <cell r="U1961">
            <v>163900</v>
          </cell>
          <cell r="V1961">
            <v>0</v>
          </cell>
        </row>
        <row r="1962">
          <cell r="U1962">
            <v>332720</v>
          </cell>
          <cell r="V1962">
            <v>0</v>
          </cell>
        </row>
        <row r="1963">
          <cell r="U1963">
            <v>1106400</v>
          </cell>
          <cell r="V1963">
            <v>0</v>
          </cell>
        </row>
        <row r="1964">
          <cell r="U1964">
            <v>1137010</v>
          </cell>
          <cell r="V1964">
            <v>0</v>
          </cell>
        </row>
        <row r="1965">
          <cell r="U1965">
            <v>900260</v>
          </cell>
          <cell r="V1965">
            <v>0</v>
          </cell>
        </row>
        <row r="1966">
          <cell r="U1966">
            <v>948790</v>
          </cell>
          <cell r="V1966">
            <v>0</v>
          </cell>
        </row>
        <row r="1967">
          <cell r="U1967">
            <v>374290</v>
          </cell>
          <cell r="V1967">
            <v>0</v>
          </cell>
        </row>
        <row r="1968">
          <cell r="U1968">
            <v>89640</v>
          </cell>
          <cell r="V1968">
            <v>0</v>
          </cell>
        </row>
        <row r="1969">
          <cell r="U1969">
            <v>267430</v>
          </cell>
          <cell r="V1969">
            <v>0</v>
          </cell>
        </row>
        <row r="1970">
          <cell r="U1970">
            <v>75610</v>
          </cell>
          <cell r="V1970">
            <v>0</v>
          </cell>
        </row>
        <row r="1971">
          <cell r="U1971">
            <v>1299270</v>
          </cell>
          <cell r="V1971">
            <v>0</v>
          </cell>
        </row>
        <row r="1972">
          <cell r="U1972">
            <v>303800</v>
          </cell>
          <cell r="V1972">
            <v>0</v>
          </cell>
        </row>
        <row r="1973">
          <cell r="U1973">
            <v>1017740</v>
          </cell>
          <cell r="V1973">
            <v>0</v>
          </cell>
        </row>
        <row r="1974">
          <cell r="U1974">
            <v>623060</v>
          </cell>
          <cell r="V1974">
            <v>0</v>
          </cell>
        </row>
        <row r="1975">
          <cell r="U1975">
            <v>508460</v>
          </cell>
          <cell r="V1975">
            <v>0</v>
          </cell>
        </row>
        <row r="1976">
          <cell r="U1976">
            <v>274090</v>
          </cell>
          <cell r="V1976">
            <v>0</v>
          </cell>
        </row>
        <row r="1977">
          <cell r="U1977">
            <v>159800</v>
          </cell>
          <cell r="V1977">
            <v>0</v>
          </cell>
        </row>
        <row r="1978">
          <cell r="U1978">
            <v>386120</v>
          </cell>
          <cell r="V1978">
            <v>0</v>
          </cell>
        </row>
        <row r="1979">
          <cell r="U1979">
            <v>400140</v>
          </cell>
          <cell r="V1979">
            <v>0</v>
          </cell>
        </row>
        <row r="1980">
          <cell r="U1980">
            <v>250030</v>
          </cell>
          <cell r="V1980">
            <v>0</v>
          </cell>
        </row>
        <row r="1981">
          <cell r="D1981">
            <v>80</v>
          </cell>
          <cell r="U1981">
            <v>34000</v>
          </cell>
          <cell r="V1981">
            <v>2720000</v>
          </cell>
        </row>
        <row r="1983">
          <cell r="D1983">
            <v>8</v>
          </cell>
          <cell r="U1983">
            <v>6690</v>
          </cell>
          <cell r="V1983">
            <v>53520</v>
          </cell>
        </row>
        <row r="1984">
          <cell r="U1984">
            <v>3560</v>
          </cell>
          <cell r="V1984">
            <v>0</v>
          </cell>
        </row>
        <row r="1985">
          <cell r="U1985">
            <v>13430</v>
          </cell>
          <cell r="V1985">
            <v>0</v>
          </cell>
        </row>
        <row r="1986">
          <cell r="U1986">
            <v>137660</v>
          </cell>
          <cell r="V1986">
            <v>0</v>
          </cell>
        </row>
        <row r="1987">
          <cell r="D1987">
            <v>1</v>
          </cell>
          <cell r="U1987">
            <v>756090</v>
          </cell>
          <cell r="V1987">
            <v>756090</v>
          </cell>
        </row>
      </sheetData>
      <sheetData sheetId="4">
        <row r="43">
          <cell r="C43">
            <v>144</v>
          </cell>
        </row>
      </sheetData>
      <sheetData sheetId="5">
        <row r="83">
          <cell r="C83">
            <v>0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2014</v>
          </cell>
        </row>
        <row r="11">
          <cell r="B11" t="str">
            <v xml:space="preserve">DR. FRANCISCO MARTINEZ CAVALLA </v>
          </cell>
        </row>
        <row r="12">
          <cell r="A12" t="str">
            <v>Jefe de Estadisticas</v>
          </cell>
          <cell r="B12" t="str">
            <v xml:space="preserve">SRA. MARIA INES NUNEZ GONZALEZ </v>
          </cell>
        </row>
      </sheetData>
      <sheetData sheetId="1"/>
      <sheetData sheetId="2">
        <row r="12">
          <cell r="D12">
            <v>58548</v>
          </cell>
        </row>
        <row r="13">
          <cell r="D13">
            <v>22951</v>
          </cell>
        </row>
        <row r="14">
          <cell r="D14">
            <v>26112</v>
          </cell>
        </row>
        <row r="15">
          <cell r="D15">
            <v>1080</v>
          </cell>
        </row>
        <row r="16">
          <cell r="D16">
            <v>0</v>
          </cell>
        </row>
        <row r="17">
          <cell r="D17">
            <v>1448</v>
          </cell>
        </row>
        <row r="18">
          <cell r="D18">
            <v>4378</v>
          </cell>
        </row>
        <row r="19">
          <cell r="D19">
            <v>3662</v>
          </cell>
        </row>
        <row r="20">
          <cell r="D20">
            <v>57</v>
          </cell>
        </row>
        <row r="21">
          <cell r="D21">
            <v>659</v>
          </cell>
        </row>
        <row r="22">
          <cell r="D22">
            <v>0</v>
          </cell>
        </row>
        <row r="23">
          <cell r="D23">
            <v>47</v>
          </cell>
        </row>
        <row r="24">
          <cell r="D24">
            <v>2532</v>
          </cell>
        </row>
        <row r="25">
          <cell r="D25">
            <v>3674</v>
          </cell>
        </row>
        <row r="26">
          <cell r="D26">
            <v>2494</v>
          </cell>
        </row>
        <row r="27">
          <cell r="D27">
            <v>1</v>
          </cell>
        </row>
        <row r="28">
          <cell r="D28">
            <v>581</v>
          </cell>
        </row>
        <row r="30">
          <cell r="D30">
            <v>187</v>
          </cell>
        </row>
        <row r="31">
          <cell r="D31">
            <v>199</v>
          </cell>
        </row>
        <row r="32">
          <cell r="D32">
            <v>212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126</v>
          </cell>
          <cell r="G69">
            <v>0</v>
          </cell>
          <cell r="H69">
            <v>0</v>
          </cell>
        </row>
        <row r="70">
          <cell r="F70">
            <v>15</v>
          </cell>
          <cell r="G70">
            <v>0</v>
          </cell>
          <cell r="H70">
            <v>0</v>
          </cell>
        </row>
        <row r="71">
          <cell r="F71">
            <v>5</v>
          </cell>
          <cell r="G71">
            <v>0</v>
          </cell>
          <cell r="H71">
            <v>0</v>
          </cell>
        </row>
        <row r="72">
          <cell r="F72">
            <v>75</v>
          </cell>
          <cell r="G72">
            <v>3</v>
          </cell>
          <cell r="H72">
            <v>0</v>
          </cell>
        </row>
        <row r="73">
          <cell r="F73">
            <v>137</v>
          </cell>
          <cell r="G73">
            <v>3</v>
          </cell>
          <cell r="H73">
            <v>0</v>
          </cell>
        </row>
        <row r="74">
          <cell r="F74">
            <v>1</v>
          </cell>
          <cell r="G74">
            <v>0</v>
          </cell>
          <cell r="H74">
            <v>0</v>
          </cell>
        </row>
        <row r="75">
          <cell r="F75">
            <v>1</v>
          </cell>
          <cell r="G75">
            <v>0</v>
          </cell>
          <cell r="H75">
            <v>0</v>
          </cell>
        </row>
        <row r="76">
          <cell r="F76">
            <v>168</v>
          </cell>
          <cell r="G76">
            <v>14</v>
          </cell>
          <cell r="H76">
            <v>0</v>
          </cell>
        </row>
        <row r="77">
          <cell r="F77">
            <v>9</v>
          </cell>
          <cell r="G77">
            <v>2</v>
          </cell>
          <cell r="H77">
            <v>0</v>
          </cell>
        </row>
        <row r="78">
          <cell r="F78">
            <v>20</v>
          </cell>
          <cell r="G78">
            <v>1</v>
          </cell>
          <cell r="H78">
            <v>0</v>
          </cell>
        </row>
        <row r="79">
          <cell r="F79">
            <v>8</v>
          </cell>
          <cell r="G79">
            <v>1</v>
          </cell>
          <cell r="H79">
            <v>0</v>
          </cell>
        </row>
        <row r="80">
          <cell r="F80">
            <v>36</v>
          </cell>
          <cell r="G80">
            <v>7</v>
          </cell>
          <cell r="H80">
            <v>0</v>
          </cell>
        </row>
        <row r="81">
          <cell r="F81">
            <v>76</v>
          </cell>
          <cell r="G81">
            <v>0</v>
          </cell>
          <cell r="H81">
            <v>0</v>
          </cell>
        </row>
        <row r="82">
          <cell r="F82">
            <v>44</v>
          </cell>
          <cell r="G82">
            <v>1</v>
          </cell>
          <cell r="H82">
            <v>0</v>
          </cell>
        </row>
        <row r="130">
          <cell r="E130">
            <v>1581</v>
          </cell>
        </row>
      </sheetData>
      <sheetData sheetId="3">
        <row r="13">
          <cell r="U13">
            <v>4050</v>
          </cell>
          <cell r="V13">
            <v>0</v>
          </cell>
        </row>
        <row r="14">
          <cell r="U14">
            <v>5090</v>
          </cell>
          <cell r="V14">
            <v>0</v>
          </cell>
        </row>
        <row r="15">
          <cell r="D15">
            <v>5961</v>
          </cell>
          <cell r="U15">
            <v>10920</v>
          </cell>
          <cell r="V15">
            <v>65094120</v>
          </cell>
        </row>
        <row r="16">
          <cell r="U16">
            <v>6520</v>
          </cell>
          <cell r="V16">
            <v>0</v>
          </cell>
        </row>
        <row r="17">
          <cell r="U17">
            <v>7160</v>
          </cell>
          <cell r="V17">
            <v>0</v>
          </cell>
        </row>
        <row r="18">
          <cell r="U18">
            <v>13700</v>
          </cell>
          <cell r="V18">
            <v>0</v>
          </cell>
        </row>
        <row r="19">
          <cell r="D19">
            <v>62</v>
          </cell>
          <cell r="U19">
            <v>13700</v>
          </cell>
          <cell r="V19">
            <v>849400</v>
          </cell>
        </row>
        <row r="20">
          <cell r="U20">
            <v>5520</v>
          </cell>
          <cell r="V20">
            <v>0</v>
          </cell>
        </row>
        <row r="21">
          <cell r="U21">
            <v>6620</v>
          </cell>
          <cell r="V21">
            <v>0</v>
          </cell>
        </row>
        <row r="22">
          <cell r="U22">
            <v>8210</v>
          </cell>
          <cell r="V22">
            <v>0</v>
          </cell>
        </row>
        <row r="23">
          <cell r="D23">
            <v>1061</v>
          </cell>
          <cell r="U23">
            <v>5520</v>
          </cell>
          <cell r="V23">
            <v>5856720</v>
          </cell>
        </row>
        <row r="24">
          <cell r="D24">
            <v>596</v>
          </cell>
          <cell r="U24">
            <v>6620</v>
          </cell>
          <cell r="V24">
            <v>3945520</v>
          </cell>
        </row>
        <row r="25">
          <cell r="D25">
            <v>2095</v>
          </cell>
          <cell r="U25">
            <v>8210</v>
          </cell>
          <cell r="V25">
            <v>17199950</v>
          </cell>
        </row>
        <row r="27">
          <cell r="D27">
            <v>1637</v>
          </cell>
          <cell r="U27">
            <v>1080</v>
          </cell>
          <cell r="V27">
            <v>1767960</v>
          </cell>
        </row>
        <row r="28">
          <cell r="U28">
            <v>1840</v>
          </cell>
          <cell r="V28">
            <v>0</v>
          </cell>
        </row>
        <row r="29">
          <cell r="U29">
            <v>590</v>
          </cell>
          <cell r="V29">
            <v>0</v>
          </cell>
        </row>
        <row r="30">
          <cell r="D30">
            <v>91</v>
          </cell>
          <cell r="U30">
            <v>1460</v>
          </cell>
          <cell r="V30">
            <v>132860</v>
          </cell>
        </row>
        <row r="31">
          <cell r="D31">
            <v>614</v>
          </cell>
          <cell r="U31">
            <v>1170</v>
          </cell>
          <cell r="V31">
            <v>718380</v>
          </cell>
        </row>
        <row r="32">
          <cell r="U32">
            <v>1080</v>
          </cell>
          <cell r="V32">
            <v>0</v>
          </cell>
        </row>
        <row r="34">
          <cell r="D34">
            <v>137</v>
          </cell>
          <cell r="U34">
            <v>3530</v>
          </cell>
          <cell r="V34">
            <v>483610</v>
          </cell>
        </row>
        <row r="35">
          <cell r="D35">
            <v>387</v>
          </cell>
          <cell r="U35">
            <v>1940</v>
          </cell>
          <cell r="V35">
            <v>750780</v>
          </cell>
        </row>
        <row r="36">
          <cell r="U36">
            <v>1940</v>
          </cell>
          <cell r="V36">
            <v>0</v>
          </cell>
        </row>
        <row r="37">
          <cell r="D37">
            <v>416</v>
          </cell>
          <cell r="U37">
            <v>590</v>
          </cell>
          <cell r="V37">
            <v>245440</v>
          </cell>
        </row>
        <row r="39">
          <cell r="U39">
            <v>1680</v>
          </cell>
          <cell r="V39">
            <v>0</v>
          </cell>
        </row>
        <row r="40">
          <cell r="D40">
            <v>19</v>
          </cell>
          <cell r="U40">
            <v>1680</v>
          </cell>
          <cell r="V40">
            <v>31920</v>
          </cell>
        </row>
        <row r="41">
          <cell r="U41">
            <v>970</v>
          </cell>
          <cell r="V41">
            <v>0</v>
          </cell>
        </row>
        <row r="43">
          <cell r="D43">
            <v>306</v>
          </cell>
          <cell r="U43">
            <v>740</v>
          </cell>
          <cell r="V43">
            <v>226440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1310</v>
          </cell>
          <cell r="V47">
            <v>0</v>
          </cell>
        </row>
        <row r="48">
          <cell r="D48">
            <v>512</v>
          </cell>
          <cell r="U48">
            <v>640</v>
          </cell>
          <cell r="V48">
            <v>327680</v>
          </cell>
        </row>
        <row r="49">
          <cell r="D49">
            <v>325</v>
          </cell>
          <cell r="U49">
            <v>1940</v>
          </cell>
          <cell r="V49">
            <v>630500</v>
          </cell>
        </row>
        <row r="50">
          <cell r="D50">
            <v>54</v>
          </cell>
          <cell r="U50">
            <v>14590</v>
          </cell>
          <cell r="V50">
            <v>787860</v>
          </cell>
        </row>
        <row r="51">
          <cell r="D51">
            <v>91</v>
          </cell>
          <cell r="U51">
            <v>33500</v>
          </cell>
          <cell r="V51">
            <v>3048500</v>
          </cell>
        </row>
        <row r="52">
          <cell r="D52">
            <v>27</v>
          </cell>
          <cell r="V52">
            <v>225720</v>
          </cell>
        </row>
        <row r="59">
          <cell r="D59">
            <v>5072</v>
          </cell>
          <cell r="U59">
            <v>32060</v>
          </cell>
          <cell r="V59">
            <v>162608320</v>
          </cell>
        </row>
        <row r="60">
          <cell r="U60">
            <v>29510</v>
          </cell>
          <cell r="V60">
            <v>0</v>
          </cell>
        </row>
        <row r="61">
          <cell r="U61">
            <v>24600</v>
          </cell>
          <cell r="V61">
            <v>0</v>
          </cell>
        </row>
        <row r="62">
          <cell r="D62">
            <v>200</v>
          </cell>
          <cell r="U62">
            <v>133290</v>
          </cell>
          <cell r="V62">
            <v>26658000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154</v>
          </cell>
          <cell r="U65">
            <v>64370</v>
          </cell>
          <cell r="V65">
            <v>9912980</v>
          </cell>
        </row>
        <row r="66">
          <cell r="D66">
            <v>90</v>
          </cell>
          <cell r="V66">
            <v>5793300</v>
          </cell>
        </row>
        <row r="67">
          <cell r="V67">
            <v>0</v>
          </cell>
        </row>
        <row r="68">
          <cell r="D68">
            <v>54</v>
          </cell>
          <cell r="U68">
            <v>57760</v>
          </cell>
          <cell r="V68">
            <v>3119040</v>
          </cell>
        </row>
        <row r="69">
          <cell r="U69">
            <v>16390</v>
          </cell>
          <cell r="V69">
            <v>0</v>
          </cell>
        </row>
        <row r="70">
          <cell r="U70">
            <v>25680</v>
          </cell>
          <cell r="V70">
            <v>0</v>
          </cell>
        </row>
        <row r="71">
          <cell r="U71">
            <v>26730</v>
          </cell>
          <cell r="V71">
            <v>0</v>
          </cell>
        </row>
        <row r="72">
          <cell r="U72">
            <v>10780</v>
          </cell>
          <cell r="V72">
            <v>0</v>
          </cell>
        </row>
        <row r="73">
          <cell r="U73">
            <v>25890</v>
          </cell>
          <cell r="V73">
            <v>0</v>
          </cell>
        </row>
        <row r="74">
          <cell r="U74">
            <v>10780</v>
          </cell>
          <cell r="V74">
            <v>0</v>
          </cell>
        </row>
        <row r="75">
          <cell r="U75">
            <v>4750</v>
          </cell>
          <cell r="V75">
            <v>0</v>
          </cell>
        </row>
        <row r="76">
          <cell r="U76">
            <v>32060</v>
          </cell>
          <cell r="V76">
            <v>0</v>
          </cell>
        </row>
        <row r="77">
          <cell r="U77">
            <v>86670</v>
          </cell>
          <cell r="V77">
            <v>0</v>
          </cell>
        </row>
        <row r="78">
          <cell r="U78">
            <v>10230</v>
          </cell>
          <cell r="V78">
            <v>0</v>
          </cell>
        </row>
        <row r="79">
          <cell r="D79">
            <v>62</v>
          </cell>
          <cell r="U79">
            <v>6220</v>
          </cell>
          <cell r="V79">
            <v>385640</v>
          </cell>
        </row>
        <row r="80">
          <cell r="U80">
            <v>44930</v>
          </cell>
          <cell r="V80">
            <v>0</v>
          </cell>
        </row>
        <row r="81">
          <cell r="U81">
            <v>7880</v>
          </cell>
          <cell r="V81">
            <v>0</v>
          </cell>
        </row>
        <row r="83">
          <cell r="V83">
            <v>22973930</v>
          </cell>
        </row>
        <row r="174">
          <cell r="V174">
            <v>29481090</v>
          </cell>
        </row>
        <row r="243">
          <cell r="V243">
            <v>3638270</v>
          </cell>
        </row>
        <row r="289">
          <cell r="V289">
            <v>0</v>
          </cell>
        </row>
        <row r="295">
          <cell r="V295">
            <v>6656480</v>
          </cell>
        </row>
        <row r="362">
          <cell r="V362">
            <v>8173360</v>
          </cell>
        </row>
        <row r="405">
          <cell r="V405">
            <v>155940</v>
          </cell>
        </row>
        <row r="428">
          <cell r="V428">
            <v>2626740</v>
          </cell>
        </row>
        <row r="446">
          <cell r="V446">
            <v>0</v>
          </cell>
        </row>
        <row r="456">
          <cell r="V456">
            <v>117250</v>
          </cell>
        </row>
        <row r="500">
          <cell r="V500">
            <v>2844210</v>
          </cell>
        </row>
        <row r="535">
          <cell r="V535">
            <v>18964550</v>
          </cell>
        </row>
        <row r="590">
          <cell r="V590">
            <v>15750</v>
          </cell>
        </row>
        <row r="615">
          <cell r="V615">
            <v>28543280</v>
          </cell>
        </row>
        <row r="633">
          <cell r="V633">
            <v>9152910</v>
          </cell>
        </row>
        <row r="634">
          <cell r="V634">
            <v>983060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666</v>
          </cell>
          <cell r="V768">
            <v>4554480</v>
          </cell>
        </row>
        <row r="783">
          <cell r="V783">
            <v>0</v>
          </cell>
        </row>
        <row r="795">
          <cell r="D795">
            <v>197</v>
          </cell>
          <cell r="U795">
            <v>6700</v>
          </cell>
          <cell r="V795">
            <v>1319900</v>
          </cell>
        </row>
        <row r="796">
          <cell r="D796">
            <v>284</v>
          </cell>
          <cell r="U796">
            <v>2620</v>
          </cell>
          <cell r="V796">
            <v>744080</v>
          </cell>
        </row>
        <row r="797">
          <cell r="D797">
            <v>306</v>
          </cell>
          <cell r="U797">
            <v>2620</v>
          </cell>
          <cell r="V797">
            <v>801720</v>
          </cell>
        </row>
        <row r="798">
          <cell r="U798">
            <v>10450</v>
          </cell>
          <cell r="V798">
            <v>0</v>
          </cell>
        </row>
        <row r="799">
          <cell r="D799">
            <v>43</v>
          </cell>
          <cell r="U799">
            <v>12230</v>
          </cell>
          <cell r="V799">
            <v>525890</v>
          </cell>
        </row>
        <row r="800">
          <cell r="U800">
            <v>27750</v>
          </cell>
          <cell r="V800">
            <v>0</v>
          </cell>
        </row>
        <row r="801">
          <cell r="U801">
            <v>3450</v>
          </cell>
          <cell r="V801">
            <v>0</v>
          </cell>
        </row>
        <row r="802">
          <cell r="U802">
            <v>8909</v>
          </cell>
          <cell r="V802">
            <v>0</v>
          </cell>
        </row>
        <row r="805">
          <cell r="D805">
            <v>8</v>
          </cell>
          <cell r="U805">
            <v>13840</v>
          </cell>
          <cell r="V805">
            <v>110720</v>
          </cell>
        </row>
        <row r="806">
          <cell r="U806">
            <v>11070</v>
          </cell>
          <cell r="V806">
            <v>0</v>
          </cell>
        </row>
        <row r="807">
          <cell r="U807">
            <v>375680</v>
          </cell>
          <cell r="V807">
            <v>0</v>
          </cell>
        </row>
        <row r="811">
          <cell r="V811">
            <v>0</v>
          </cell>
        </row>
        <row r="882">
          <cell r="V882">
            <v>26397670</v>
          </cell>
        </row>
        <row r="961">
          <cell r="V961">
            <v>1157100</v>
          </cell>
        </row>
        <row r="1036">
          <cell r="U1036">
            <v>8850</v>
          </cell>
          <cell r="V1036">
            <v>0</v>
          </cell>
        </row>
        <row r="1037">
          <cell r="V1037">
            <v>881090</v>
          </cell>
        </row>
        <row r="1098">
          <cell r="V1098">
            <v>3950965</v>
          </cell>
        </row>
        <row r="1166">
          <cell r="V1166">
            <v>3310750</v>
          </cell>
        </row>
        <row r="1197">
          <cell r="D1197">
            <v>503</v>
          </cell>
          <cell r="U1197">
            <v>4740</v>
          </cell>
          <cell r="V1197">
            <v>2384220</v>
          </cell>
        </row>
        <row r="1198">
          <cell r="D1198">
            <v>1</v>
          </cell>
          <cell r="U1198">
            <v>13370</v>
          </cell>
          <cell r="V1198">
            <v>13370</v>
          </cell>
        </row>
        <row r="1199">
          <cell r="D1199">
            <v>17</v>
          </cell>
          <cell r="U1199">
            <v>22670</v>
          </cell>
          <cell r="V1199">
            <v>385390</v>
          </cell>
        </row>
        <row r="1200">
          <cell r="U1200">
            <v>43280</v>
          </cell>
          <cell r="V1200">
            <v>0</v>
          </cell>
        </row>
        <row r="1201">
          <cell r="D1201">
            <v>31</v>
          </cell>
          <cell r="U1201">
            <v>48240</v>
          </cell>
          <cell r="V1201">
            <v>1495440</v>
          </cell>
        </row>
        <row r="1202">
          <cell r="U1202">
            <v>27060</v>
          </cell>
          <cell r="V1202">
            <v>0</v>
          </cell>
        </row>
        <row r="1203">
          <cell r="U1203">
            <v>209350</v>
          </cell>
          <cell r="V1203">
            <v>0</v>
          </cell>
        </row>
        <row r="1204">
          <cell r="U1204">
            <v>238000</v>
          </cell>
          <cell r="V1204">
            <v>0</v>
          </cell>
        </row>
        <row r="1205">
          <cell r="U1205">
            <v>194080</v>
          </cell>
          <cell r="V1205">
            <v>0</v>
          </cell>
        </row>
        <row r="1206">
          <cell r="U1206">
            <v>249290</v>
          </cell>
          <cell r="V1206">
            <v>0</v>
          </cell>
        </row>
        <row r="1207">
          <cell r="U1207">
            <v>255080</v>
          </cell>
          <cell r="V1207">
            <v>0</v>
          </cell>
        </row>
        <row r="1208">
          <cell r="U1208">
            <v>215710</v>
          </cell>
          <cell r="V1208">
            <v>0</v>
          </cell>
        </row>
        <row r="1209">
          <cell r="U1209">
            <v>230250</v>
          </cell>
          <cell r="V1209">
            <v>0</v>
          </cell>
        </row>
        <row r="1210">
          <cell r="U1210">
            <v>275320</v>
          </cell>
          <cell r="V1210">
            <v>0</v>
          </cell>
        </row>
        <row r="1211">
          <cell r="U1211">
            <v>244150</v>
          </cell>
          <cell r="V1211">
            <v>0</v>
          </cell>
        </row>
        <row r="1212">
          <cell r="U1212">
            <v>1786710</v>
          </cell>
          <cell r="V1212">
            <v>0</v>
          </cell>
        </row>
        <row r="1213">
          <cell r="U1213">
            <v>1115980</v>
          </cell>
          <cell r="V1213">
            <v>0</v>
          </cell>
        </row>
        <row r="1214">
          <cell r="U1214">
            <v>1080140</v>
          </cell>
          <cell r="V1214">
            <v>0</v>
          </cell>
        </row>
        <row r="1215">
          <cell r="U1215">
            <v>1131580</v>
          </cell>
          <cell r="V1215">
            <v>0</v>
          </cell>
        </row>
        <row r="1216">
          <cell r="U1216">
            <v>160130</v>
          </cell>
          <cell r="V1216">
            <v>0</v>
          </cell>
        </row>
        <row r="1217">
          <cell r="U1217">
            <v>365410</v>
          </cell>
          <cell r="V1217">
            <v>0</v>
          </cell>
        </row>
        <row r="1218">
          <cell r="U1218">
            <v>135470</v>
          </cell>
          <cell r="V1218">
            <v>0</v>
          </cell>
        </row>
        <row r="1219">
          <cell r="U1219">
            <v>1097590</v>
          </cell>
          <cell r="V1219">
            <v>0</v>
          </cell>
        </row>
        <row r="1220">
          <cell r="U1220">
            <v>1097590</v>
          </cell>
          <cell r="V1220">
            <v>0</v>
          </cell>
        </row>
        <row r="1221">
          <cell r="V1221">
            <v>75630</v>
          </cell>
        </row>
        <row r="1287">
          <cell r="V1287">
            <v>168160</v>
          </cell>
        </row>
        <row r="1354">
          <cell r="D1354">
            <v>48</v>
          </cell>
          <cell r="U1354">
            <v>32740</v>
          </cell>
          <cell r="V1354">
            <v>1571520</v>
          </cell>
        </row>
        <row r="1355">
          <cell r="U1355">
            <v>39490</v>
          </cell>
          <cell r="V1355">
            <v>0</v>
          </cell>
        </row>
        <row r="1356">
          <cell r="D1356">
            <v>5</v>
          </cell>
          <cell r="U1356">
            <v>42060</v>
          </cell>
          <cell r="V1356">
            <v>210300</v>
          </cell>
        </row>
        <row r="1357">
          <cell r="V1357">
            <v>38494635</v>
          </cell>
        </row>
        <row r="1441">
          <cell r="V1441">
            <v>659990</v>
          </cell>
        </row>
        <row r="1481">
          <cell r="U1481">
            <v>40370</v>
          </cell>
          <cell r="V1481">
            <v>0</v>
          </cell>
        </row>
        <row r="1482">
          <cell r="U1482">
            <v>25390</v>
          </cell>
          <cell r="V1482">
            <v>0</v>
          </cell>
        </row>
        <row r="1483">
          <cell r="U1483">
            <v>26150</v>
          </cell>
          <cell r="V1483">
            <v>0</v>
          </cell>
        </row>
        <row r="1484">
          <cell r="U1484">
            <v>784500</v>
          </cell>
          <cell r="V1484">
            <v>0</v>
          </cell>
        </row>
        <row r="1485">
          <cell r="U1485">
            <v>356330</v>
          </cell>
          <cell r="V1485">
            <v>0</v>
          </cell>
        </row>
        <row r="1486">
          <cell r="U1486">
            <v>544860</v>
          </cell>
          <cell r="V1486">
            <v>0</v>
          </cell>
        </row>
        <row r="1487">
          <cell r="U1487">
            <v>49130</v>
          </cell>
          <cell r="V1487">
            <v>0</v>
          </cell>
        </row>
        <row r="1488">
          <cell r="U1488">
            <v>638670</v>
          </cell>
          <cell r="V1488">
            <v>0</v>
          </cell>
        </row>
        <row r="1489">
          <cell r="V1489">
            <v>3666510</v>
          </cell>
        </row>
        <row r="1574">
          <cell r="V1574">
            <v>12771680</v>
          </cell>
        </row>
        <row r="1592">
          <cell r="V1592">
            <v>1374135</v>
          </cell>
        </row>
        <row r="1597">
          <cell r="V1597">
            <v>6419610</v>
          </cell>
        </row>
        <row r="1631">
          <cell r="V1631">
            <v>8781000</v>
          </cell>
        </row>
        <row r="1632">
          <cell r="V1632">
            <v>0</v>
          </cell>
        </row>
        <row r="1633">
          <cell r="D1633">
            <v>24</v>
          </cell>
          <cell r="V1633">
            <v>2271120</v>
          </cell>
        </row>
        <row r="1634">
          <cell r="D1634">
            <v>52</v>
          </cell>
          <cell r="V1634">
            <v>6509880</v>
          </cell>
        </row>
        <row r="1635">
          <cell r="V1635">
            <v>0</v>
          </cell>
        </row>
        <row r="1636">
          <cell r="D1636">
            <v>81</v>
          </cell>
          <cell r="U1636">
            <v>125180</v>
          </cell>
          <cell r="V1636">
            <v>10139580</v>
          </cell>
        </row>
        <row r="1637">
          <cell r="D1637">
            <v>3</v>
          </cell>
          <cell r="U1637">
            <v>131720</v>
          </cell>
          <cell r="V1637">
            <v>395160</v>
          </cell>
        </row>
        <row r="1639">
          <cell r="V1639">
            <v>8700820</v>
          </cell>
        </row>
        <row r="1845">
          <cell r="D1845">
            <v>2</v>
          </cell>
          <cell r="F1845">
            <v>0</v>
          </cell>
          <cell r="G1845">
            <v>0</v>
          </cell>
          <cell r="V1845">
            <v>104720</v>
          </cell>
        </row>
        <row r="1849">
          <cell r="D1849">
            <v>59</v>
          </cell>
          <cell r="V1849">
            <v>4122950</v>
          </cell>
        </row>
        <row r="1861">
          <cell r="D1861">
            <v>27</v>
          </cell>
          <cell r="U1861">
            <v>27160</v>
          </cell>
          <cell r="V1861">
            <v>733320</v>
          </cell>
        </row>
        <row r="1863">
          <cell r="D1863">
            <v>258</v>
          </cell>
          <cell r="U1863">
            <v>17890</v>
          </cell>
          <cell r="V1863">
            <v>4615620</v>
          </cell>
        </row>
        <row r="1864">
          <cell r="D1864">
            <v>164</v>
          </cell>
          <cell r="U1864">
            <v>56280</v>
          </cell>
          <cell r="V1864">
            <v>9229920</v>
          </cell>
        </row>
        <row r="1865">
          <cell r="U1865">
            <v>69770</v>
          </cell>
          <cell r="V1865">
            <v>0</v>
          </cell>
        </row>
        <row r="1866">
          <cell r="D1866">
            <v>164</v>
          </cell>
          <cell r="U1866">
            <v>2450</v>
          </cell>
          <cell r="V1866">
            <v>401800</v>
          </cell>
        </row>
        <row r="1867">
          <cell r="U1867">
            <v>70</v>
          </cell>
          <cell r="V1867">
            <v>0</v>
          </cell>
        </row>
        <row r="1868">
          <cell r="U1868">
            <v>148120</v>
          </cell>
          <cell r="V1868">
            <v>0</v>
          </cell>
        </row>
        <row r="1869">
          <cell r="U1869">
            <v>10070</v>
          </cell>
          <cell r="V1869">
            <v>0</v>
          </cell>
        </row>
        <row r="1871">
          <cell r="V1871">
            <v>1609100</v>
          </cell>
        </row>
        <row r="1889">
          <cell r="V1889">
            <v>3642940</v>
          </cell>
        </row>
        <row r="1914">
          <cell r="V1914">
            <v>1480150</v>
          </cell>
        </row>
        <row r="1941">
          <cell r="D1941">
            <v>524</v>
          </cell>
          <cell r="U1941">
            <v>18750</v>
          </cell>
          <cell r="V1941">
            <v>9825000</v>
          </cell>
        </row>
        <row r="1942">
          <cell r="U1942">
            <v>235010</v>
          </cell>
          <cell r="V1942">
            <v>0</v>
          </cell>
        </row>
        <row r="1944">
          <cell r="U1944">
            <v>240030</v>
          </cell>
          <cell r="V1944">
            <v>0</v>
          </cell>
        </row>
        <row r="1945">
          <cell r="U1945">
            <v>34110</v>
          </cell>
          <cell r="V1945">
            <v>0</v>
          </cell>
        </row>
        <row r="1946">
          <cell r="U1946">
            <v>128660</v>
          </cell>
          <cell r="V1946">
            <v>0</v>
          </cell>
        </row>
        <row r="1947">
          <cell r="U1947">
            <v>128660</v>
          </cell>
          <cell r="V1947">
            <v>0</v>
          </cell>
        </row>
        <row r="1948">
          <cell r="U1948">
            <v>234230</v>
          </cell>
          <cell r="V1948">
            <v>0</v>
          </cell>
        </row>
        <row r="1949">
          <cell r="U1949">
            <v>359460</v>
          </cell>
          <cell r="V1949">
            <v>0</v>
          </cell>
        </row>
        <row r="1950">
          <cell r="U1950">
            <v>613210</v>
          </cell>
          <cell r="V1950">
            <v>0</v>
          </cell>
        </row>
        <row r="1951">
          <cell r="U1951">
            <v>127720</v>
          </cell>
          <cell r="V1951">
            <v>0</v>
          </cell>
        </row>
        <row r="1952">
          <cell r="U1952">
            <v>344230</v>
          </cell>
          <cell r="V1952">
            <v>0</v>
          </cell>
        </row>
        <row r="1953">
          <cell r="U1953">
            <v>144940</v>
          </cell>
          <cell r="V1953">
            <v>0</v>
          </cell>
        </row>
        <row r="1954">
          <cell r="U1954">
            <v>125950</v>
          </cell>
          <cell r="V1954">
            <v>0</v>
          </cell>
        </row>
        <row r="1955">
          <cell r="U1955">
            <v>191490</v>
          </cell>
          <cell r="V1955">
            <v>0</v>
          </cell>
        </row>
        <row r="1956">
          <cell r="U1956">
            <v>50390</v>
          </cell>
          <cell r="V1956">
            <v>0</v>
          </cell>
        </row>
        <row r="1957">
          <cell r="U1957">
            <v>37660</v>
          </cell>
          <cell r="V1957">
            <v>0</v>
          </cell>
        </row>
        <row r="1958">
          <cell r="U1958">
            <v>206500</v>
          </cell>
          <cell r="V1958">
            <v>0</v>
          </cell>
        </row>
        <row r="1959">
          <cell r="U1959">
            <v>1228440</v>
          </cell>
          <cell r="V1959">
            <v>0</v>
          </cell>
        </row>
        <row r="1960">
          <cell r="U1960">
            <v>185340</v>
          </cell>
          <cell r="V1960">
            <v>0</v>
          </cell>
        </row>
        <row r="1961">
          <cell r="U1961">
            <v>163900</v>
          </cell>
          <cell r="V1961">
            <v>0</v>
          </cell>
        </row>
        <row r="1962">
          <cell r="U1962">
            <v>332720</v>
          </cell>
          <cell r="V1962">
            <v>0</v>
          </cell>
        </row>
        <row r="1963">
          <cell r="U1963">
            <v>1106400</v>
          </cell>
          <cell r="V1963">
            <v>0</v>
          </cell>
        </row>
        <row r="1964">
          <cell r="U1964">
            <v>1137010</v>
          </cell>
          <cell r="V1964">
            <v>0</v>
          </cell>
        </row>
        <row r="1965">
          <cell r="U1965">
            <v>900260</v>
          </cell>
          <cell r="V1965">
            <v>0</v>
          </cell>
        </row>
        <row r="1966">
          <cell r="U1966">
            <v>948790</v>
          </cell>
          <cell r="V1966">
            <v>0</v>
          </cell>
        </row>
        <row r="1967">
          <cell r="U1967">
            <v>374290</v>
          </cell>
          <cell r="V1967">
            <v>0</v>
          </cell>
        </row>
        <row r="1968">
          <cell r="U1968">
            <v>89640</v>
          </cell>
          <cell r="V1968">
            <v>0</v>
          </cell>
        </row>
        <row r="1969">
          <cell r="U1969">
            <v>267430</v>
          </cell>
          <cell r="V1969">
            <v>0</v>
          </cell>
        </row>
        <row r="1970">
          <cell r="U1970">
            <v>75610</v>
          </cell>
          <cell r="V1970">
            <v>0</v>
          </cell>
        </row>
        <row r="1971">
          <cell r="U1971">
            <v>1299270</v>
          </cell>
          <cell r="V1971">
            <v>0</v>
          </cell>
        </row>
        <row r="1972">
          <cell r="U1972">
            <v>303800</v>
          </cell>
          <cell r="V1972">
            <v>0</v>
          </cell>
        </row>
        <row r="1973">
          <cell r="U1973">
            <v>1017740</v>
          </cell>
          <cell r="V1973">
            <v>0</v>
          </cell>
        </row>
        <row r="1974">
          <cell r="U1974">
            <v>623060</v>
          </cell>
          <cell r="V1974">
            <v>0</v>
          </cell>
        </row>
        <row r="1975">
          <cell r="U1975">
            <v>508460</v>
          </cell>
          <cell r="V1975">
            <v>0</v>
          </cell>
        </row>
        <row r="1976">
          <cell r="U1976">
            <v>274090</v>
          </cell>
          <cell r="V1976">
            <v>0</v>
          </cell>
        </row>
        <row r="1977">
          <cell r="U1977">
            <v>159800</v>
          </cell>
          <cell r="V1977">
            <v>0</v>
          </cell>
        </row>
        <row r="1978">
          <cell r="U1978">
            <v>386120</v>
          </cell>
          <cell r="V1978">
            <v>0</v>
          </cell>
        </row>
        <row r="1979">
          <cell r="U1979">
            <v>400140</v>
          </cell>
          <cell r="V1979">
            <v>0</v>
          </cell>
        </row>
        <row r="1980">
          <cell r="U1980">
            <v>250030</v>
          </cell>
          <cell r="V1980">
            <v>0</v>
          </cell>
        </row>
        <row r="1981">
          <cell r="D1981">
            <v>84</v>
          </cell>
          <cell r="U1981">
            <v>34000</v>
          </cell>
          <cell r="V1981">
            <v>2856000</v>
          </cell>
        </row>
        <row r="1983">
          <cell r="D1983">
            <v>10</v>
          </cell>
          <cell r="U1983">
            <v>6690</v>
          </cell>
          <cell r="V1983">
            <v>66900</v>
          </cell>
        </row>
        <row r="1984">
          <cell r="U1984">
            <v>3560</v>
          </cell>
          <cell r="V1984">
            <v>0</v>
          </cell>
        </row>
        <row r="1985">
          <cell r="D1985">
            <v>1</v>
          </cell>
          <cell r="U1985">
            <v>13430</v>
          </cell>
          <cell r="V1985">
            <v>13430</v>
          </cell>
        </row>
        <row r="1986">
          <cell r="U1986">
            <v>137660</v>
          </cell>
          <cell r="V1986">
            <v>0</v>
          </cell>
        </row>
        <row r="1987">
          <cell r="D1987">
            <v>1</v>
          </cell>
          <cell r="U1987">
            <v>756090</v>
          </cell>
          <cell r="V1987">
            <v>756090</v>
          </cell>
        </row>
      </sheetData>
      <sheetData sheetId="4">
        <row r="44">
          <cell r="C44">
            <v>0</v>
          </cell>
        </row>
      </sheetData>
      <sheetData sheetId="5">
        <row r="83">
          <cell r="C83">
            <v>0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2014</v>
          </cell>
        </row>
        <row r="11">
          <cell r="B11" t="str">
            <v>DR. FRANCISCO MARTINEZ CABALLA</v>
          </cell>
        </row>
        <row r="12">
          <cell r="A12" t="str">
            <v>Jefe de Estadisticas</v>
          </cell>
          <cell r="B12" t="str">
            <v xml:space="preserve">SRA. MARIA INES NUNEZ GONZALEZ </v>
          </cell>
        </row>
      </sheetData>
      <sheetData sheetId="1"/>
      <sheetData sheetId="2">
        <row r="12">
          <cell r="D12">
            <v>65167</v>
          </cell>
        </row>
        <row r="13">
          <cell r="D13">
            <v>24175</v>
          </cell>
        </row>
        <row r="14">
          <cell r="D14">
            <v>29990</v>
          </cell>
        </row>
        <row r="15">
          <cell r="D15">
            <v>1183</v>
          </cell>
        </row>
        <row r="16">
          <cell r="D16">
            <v>0</v>
          </cell>
        </row>
        <row r="17">
          <cell r="D17">
            <v>1522</v>
          </cell>
        </row>
        <row r="18">
          <cell r="D18">
            <v>5387</v>
          </cell>
        </row>
        <row r="19">
          <cell r="D19">
            <v>4550</v>
          </cell>
        </row>
        <row r="20">
          <cell r="D20">
            <v>52</v>
          </cell>
        </row>
        <row r="21">
          <cell r="D21">
            <v>785</v>
          </cell>
        </row>
        <row r="22">
          <cell r="D22">
            <v>0</v>
          </cell>
        </row>
        <row r="23">
          <cell r="D23">
            <v>81</v>
          </cell>
        </row>
        <row r="24">
          <cell r="D24">
            <v>2829</v>
          </cell>
        </row>
        <row r="25">
          <cell r="D25">
            <v>4252</v>
          </cell>
        </row>
        <row r="26">
          <cell r="D26">
            <v>2880</v>
          </cell>
        </row>
        <row r="27">
          <cell r="D27">
            <v>3</v>
          </cell>
        </row>
        <row r="28">
          <cell r="D28">
            <v>640</v>
          </cell>
        </row>
        <row r="30">
          <cell r="D30">
            <v>256</v>
          </cell>
        </row>
        <row r="31">
          <cell r="D31">
            <v>273</v>
          </cell>
        </row>
        <row r="32">
          <cell r="D32">
            <v>200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261</v>
          </cell>
          <cell r="G69">
            <v>0</v>
          </cell>
          <cell r="H69">
            <v>0</v>
          </cell>
        </row>
        <row r="70">
          <cell r="F70">
            <v>18</v>
          </cell>
          <cell r="G70">
            <v>2</v>
          </cell>
          <cell r="H70">
            <v>0</v>
          </cell>
        </row>
        <row r="71">
          <cell r="F71">
            <v>8</v>
          </cell>
          <cell r="G71">
            <v>0</v>
          </cell>
          <cell r="H71">
            <v>0</v>
          </cell>
        </row>
        <row r="72">
          <cell r="F72">
            <v>70</v>
          </cell>
          <cell r="G72">
            <v>1</v>
          </cell>
          <cell r="H72">
            <v>0</v>
          </cell>
        </row>
        <row r="73">
          <cell r="F73">
            <v>142</v>
          </cell>
          <cell r="G73">
            <v>1</v>
          </cell>
          <cell r="H73">
            <v>0</v>
          </cell>
        </row>
        <row r="74">
          <cell r="F74">
            <v>4</v>
          </cell>
          <cell r="G74">
            <v>0</v>
          </cell>
          <cell r="H74">
            <v>0</v>
          </cell>
        </row>
        <row r="75">
          <cell r="F75">
            <v>2</v>
          </cell>
          <cell r="G75">
            <v>1</v>
          </cell>
          <cell r="H75">
            <v>0</v>
          </cell>
        </row>
        <row r="76">
          <cell r="F76">
            <v>167</v>
          </cell>
          <cell r="G76">
            <v>22</v>
          </cell>
          <cell r="H76">
            <v>0</v>
          </cell>
        </row>
        <row r="77">
          <cell r="F77">
            <v>13</v>
          </cell>
          <cell r="G77">
            <v>0</v>
          </cell>
          <cell r="H77">
            <v>0</v>
          </cell>
        </row>
        <row r="78">
          <cell r="F78">
            <v>35</v>
          </cell>
          <cell r="G78">
            <v>2</v>
          </cell>
          <cell r="H78">
            <v>0</v>
          </cell>
        </row>
        <row r="79">
          <cell r="F79">
            <v>12</v>
          </cell>
          <cell r="G79">
            <v>0</v>
          </cell>
          <cell r="H79">
            <v>0</v>
          </cell>
        </row>
        <row r="80">
          <cell r="F80">
            <v>50</v>
          </cell>
          <cell r="G80">
            <v>5</v>
          </cell>
          <cell r="H80">
            <v>0</v>
          </cell>
        </row>
        <row r="81">
          <cell r="F81">
            <v>71</v>
          </cell>
          <cell r="G81">
            <v>0</v>
          </cell>
          <cell r="H81">
            <v>0</v>
          </cell>
        </row>
        <row r="82">
          <cell r="F82">
            <v>45</v>
          </cell>
          <cell r="G82">
            <v>1</v>
          </cell>
          <cell r="H82">
            <v>0</v>
          </cell>
        </row>
        <row r="130">
          <cell r="E130">
            <v>1469</v>
          </cell>
        </row>
      </sheetData>
      <sheetData sheetId="3">
        <row r="13">
          <cell r="U13">
            <v>4050</v>
          </cell>
          <cell r="V13">
            <v>0</v>
          </cell>
        </row>
        <row r="14">
          <cell r="U14">
            <v>5090</v>
          </cell>
          <cell r="V14">
            <v>0</v>
          </cell>
        </row>
        <row r="15">
          <cell r="D15">
            <v>6779</v>
          </cell>
          <cell r="U15">
            <v>10920</v>
          </cell>
          <cell r="V15">
            <v>74026680</v>
          </cell>
        </row>
        <row r="16">
          <cell r="U16">
            <v>6520</v>
          </cell>
          <cell r="V16">
            <v>0</v>
          </cell>
        </row>
        <row r="17">
          <cell r="U17">
            <v>7160</v>
          </cell>
          <cell r="V17">
            <v>0</v>
          </cell>
        </row>
        <row r="18">
          <cell r="U18">
            <v>13700</v>
          </cell>
          <cell r="V18">
            <v>0</v>
          </cell>
        </row>
        <row r="19">
          <cell r="D19">
            <v>58</v>
          </cell>
          <cell r="U19">
            <v>13700</v>
          </cell>
          <cell r="V19">
            <v>794600</v>
          </cell>
        </row>
        <row r="20">
          <cell r="U20">
            <v>5520</v>
          </cell>
          <cell r="V20">
            <v>0</v>
          </cell>
        </row>
        <row r="21">
          <cell r="U21">
            <v>6620</v>
          </cell>
          <cell r="V21">
            <v>0</v>
          </cell>
        </row>
        <row r="22">
          <cell r="U22">
            <v>8210</v>
          </cell>
          <cell r="V22">
            <v>0</v>
          </cell>
        </row>
        <row r="23">
          <cell r="D23">
            <v>1924</v>
          </cell>
          <cell r="U23">
            <v>5520</v>
          </cell>
          <cell r="V23">
            <v>10620480</v>
          </cell>
        </row>
        <row r="24">
          <cell r="D24">
            <v>1102</v>
          </cell>
          <cell r="U24">
            <v>6620</v>
          </cell>
          <cell r="V24">
            <v>7295240</v>
          </cell>
        </row>
        <row r="25">
          <cell r="D25">
            <v>2358</v>
          </cell>
          <cell r="U25">
            <v>8210</v>
          </cell>
          <cell r="V25">
            <v>19359180</v>
          </cell>
        </row>
        <row r="27">
          <cell r="D27">
            <v>1888</v>
          </cell>
          <cell r="U27">
            <v>1080</v>
          </cell>
          <cell r="V27">
            <v>2039040</v>
          </cell>
        </row>
        <row r="28">
          <cell r="U28">
            <v>1840</v>
          </cell>
          <cell r="V28">
            <v>0</v>
          </cell>
        </row>
        <row r="29">
          <cell r="U29">
            <v>590</v>
          </cell>
          <cell r="V29">
            <v>0</v>
          </cell>
        </row>
        <row r="30">
          <cell r="D30">
            <v>128</v>
          </cell>
          <cell r="U30">
            <v>1460</v>
          </cell>
          <cell r="V30">
            <v>186880</v>
          </cell>
        </row>
        <row r="31">
          <cell r="D31">
            <v>906</v>
          </cell>
          <cell r="U31">
            <v>1170</v>
          </cell>
          <cell r="V31">
            <v>1060020</v>
          </cell>
        </row>
        <row r="32">
          <cell r="U32">
            <v>1080</v>
          </cell>
          <cell r="V32">
            <v>0</v>
          </cell>
        </row>
        <row r="34">
          <cell r="D34">
            <v>44</v>
          </cell>
          <cell r="U34">
            <v>3530</v>
          </cell>
          <cell r="V34">
            <v>155320</v>
          </cell>
        </row>
        <row r="35">
          <cell r="D35">
            <v>574</v>
          </cell>
          <cell r="U35">
            <v>1940</v>
          </cell>
          <cell r="V35">
            <v>1113560</v>
          </cell>
        </row>
        <row r="36">
          <cell r="D36">
            <v>608</v>
          </cell>
          <cell r="U36">
            <v>1940</v>
          </cell>
          <cell r="V36">
            <v>1179520</v>
          </cell>
        </row>
        <row r="37">
          <cell r="U37">
            <v>590</v>
          </cell>
          <cell r="V37">
            <v>0</v>
          </cell>
        </row>
        <row r="39">
          <cell r="D39">
            <v>20</v>
          </cell>
          <cell r="U39">
            <v>1680</v>
          </cell>
          <cell r="V39">
            <v>33600</v>
          </cell>
        </row>
        <row r="40">
          <cell r="D40">
            <v>30</v>
          </cell>
          <cell r="U40">
            <v>1680</v>
          </cell>
          <cell r="V40">
            <v>50400</v>
          </cell>
        </row>
        <row r="41">
          <cell r="U41">
            <v>970</v>
          </cell>
          <cell r="V41">
            <v>0</v>
          </cell>
        </row>
        <row r="43">
          <cell r="D43">
            <v>285</v>
          </cell>
          <cell r="U43">
            <v>740</v>
          </cell>
          <cell r="V43">
            <v>210900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1310</v>
          </cell>
          <cell r="V47">
            <v>0</v>
          </cell>
        </row>
        <row r="48">
          <cell r="D48">
            <v>546</v>
          </cell>
          <cell r="U48">
            <v>640</v>
          </cell>
          <cell r="V48">
            <v>349440</v>
          </cell>
        </row>
        <row r="49">
          <cell r="D49">
            <v>409</v>
          </cell>
          <cell r="U49">
            <v>1940</v>
          </cell>
          <cell r="V49">
            <v>793460</v>
          </cell>
        </row>
        <row r="50">
          <cell r="D50">
            <v>52</v>
          </cell>
          <cell r="U50">
            <v>14590</v>
          </cell>
          <cell r="V50">
            <v>758680</v>
          </cell>
        </row>
        <row r="51">
          <cell r="D51">
            <v>92</v>
          </cell>
          <cell r="U51">
            <v>33500</v>
          </cell>
          <cell r="V51">
            <v>3082000</v>
          </cell>
        </row>
        <row r="52">
          <cell r="D52">
            <v>23</v>
          </cell>
          <cell r="V52">
            <v>192280</v>
          </cell>
        </row>
        <row r="59">
          <cell r="D59">
            <v>5144</v>
          </cell>
          <cell r="U59">
            <v>32060</v>
          </cell>
          <cell r="V59">
            <v>164916640</v>
          </cell>
        </row>
        <row r="60">
          <cell r="U60">
            <v>29510</v>
          </cell>
          <cell r="V60">
            <v>0</v>
          </cell>
        </row>
        <row r="61">
          <cell r="U61">
            <v>24600</v>
          </cell>
          <cell r="V61">
            <v>0</v>
          </cell>
        </row>
        <row r="62">
          <cell r="D62">
            <v>133</v>
          </cell>
          <cell r="U62">
            <v>133290</v>
          </cell>
          <cell r="V62">
            <v>17727570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161</v>
          </cell>
          <cell r="U65">
            <v>64370</v>
          </cell>
          <cell r="V65">
            <v>10363570</v>
          </cell>
        </row>
        <row r="66">
          <cell r="D66">
            <v>103</v>
          </cell>
          <cell r="V66">
            <v>6630110</v>
          </cell>
        </row>
        <row r="67">
          <cell r="V67">
            <v>0</v>
          </cell>
        </row>
        <row r="68">
          <cell r="D68">
            <v>142</v>
          </cell>
          <cell r="U68">
            <v>57760</v>
          </cell>
          <cell r="V68">
            <v>8201920</v>
          </cell>
        </row>
        <row r="69">
          <cell r="U69">
            <v>16390</v>
          </cell>
          <cell r="V69">
            <v>0</v>
          </cell>
        </row>
        <row r="70">
          <cell r="U70">
            <v>25680</v>
          </cell>
          <cell r="V70">
            <v>0</v>
          </cell>
        </row>
        <row r="71">
          <cell r="U71">
            <v>26730</v>
          </cell>
          <cell r="V71">
            <v>0</v>
          </cell>
        </row>
        <row r="72">
          <cell r="U72">
            <v>10780</v>
          </cell>
          <cell r="V72">
            <v>0</v>
          </cell>
        </row>
        <row r="73">
          <cell r="U73">
            <v>25890</v>
          </cell>
          <cell r="V73">
            <v>0</v>
          </cell>
        </row>
        <row r="74">
          <cell r="U74">
            <v>10780</v>
          </cell>
          <cell r="V74">
            <v>0</v>
          </cell>
        </row>
        <row r="75">
          <cell r="U75">
            <v>4750</v>
          </cell>
          <cell r="V75">
            <v>0</v>
          </cell>
        </row>
        <row r="76">
          <cell r="U76">
            <v>32060</v>
          </cell>
          <cell r="V76">
            <v>0</v>
          </cell>
        </row>
        <row r="77">
          <cell r="U77">
            <v>86670</v>
          </cell>
          <cell r="V77">
            <v>0</v>
          </cell>
        </row>
        <row r="78">
          <cell r="U78">
            <v>10230</v>
          </cell>
          <cell r="V78">
            <v>0</v>
          </cell>
        </row>
        <row r="79">
          <cell r="D79">
            <v>48</v>
          </cell>
          <cell r="U79">
            <v>6220</v>
          </cell>
          <cell r="V79">
            <v>298560</v>
          </cell>
        </row>
        <row r="80">
          <cell r="U80">
            <v>44930</v>
          </cell>
          <cell r="V80">
            <v>0</v>
          </cell>
        </row>
        <row r="81">
          <cell r="U81">
            <v>7880</v>
          </cell>
          <cell r="V81">
            <v>0</v>
          </cell>
        </row>
        <row r="83">
          <cell r="V83">
            <v>24901350</v>
          </cell>
        </row>
        <row r="174">
          <cell r="V174">
            <v>34079430</v>
          </cell>
        </row>
        <row r="243">
          <cell r="V243">
            <v>3998760</v>
          </cell>
        </row>
        <row r="289">
          <cell r="V289">
            <v>0</v>
          </cell>
        </row>
        <row r="295">
          <cell r="V295">
            <v>6960840</v>
          </cell>
        </row>
        <row r="362">
          <cell r="V362">
            <v>9994040</v>
          </cell>
        </row>
        <row r="405">
          <cell r="V405">
            <v>142910</v>
          </cell>
        </row>
        <row r="428">
          <cell r="V428">
            <v>3123310</v>
          </cell>
        </row>
        <row r="446">
          <cell r="V446">
            <v>0</v>
          </cell>
        </row>
        <row r="456">
          <cell r="V456">
            <v>162850</v>
          </cell>
        </row>
        <row r="500">
          <cell r="V500">
            <v>3327440</v>
          </cell>
        </row>
        <row r="535">
          <cell r="V535">
            <v>23599620</v>
          </cell>
        </row>
        <row r="590">
          <cell r="V590">
            <v>47250</v>
          </cell>
        </row>
        <row r="615">
          <cell r="V615">
            <v>31091090</v>
          </cell>
        </row>
        <row r="633">
          <cell r="V633">
            <v>9714410</v>
          </cell>
        </row>
        <row r="634">
          <cell r="V634">
            <v>1348620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686</v>
          </cell>
          <cell r="V768">
            <v>4357000</v>
          </cell>
        </row>
        <row r="783">
          <cell r="V783">
            <v>0</v>
          </cell>
        </row>
        <row r="795">
          <cell r="D795">
            <v>203</v>
          </cell>
          <cell r="U795">
            <v>6700</v>
          </cell>
          <cell r="V795">
            <v>1360100</v>
          </cell>
        </row>
        <row r="796">
          <cell r="D796">
            <v>353</v>
          </cell>
          <cell r="U796">
            <v>2620</v>
          </cell>
          <cell r="V796">
            <v>924860</v>
          </cell>
        </row>
        <row r="797">
          <cell r="D797">
            <v>636</v>
          </cell>
          <cell r="U797">
            <v>2620</v>
          </cell>
          <cell r="V797">
            <v>1666320</v>
          </cell>
        </row>
        <row r="798">
          <cell r="U798">
            <v>10450</v>
          </cell>
          <cell r="V798">
            <v>0</v>
          </cell>
        </row>
        <row r="799">
          <cell r="D799">
            <v>43</v>
          </cell>
          <cell r="U799">
            <v>12230</v>
          </cell>
          <cell r="V799">
            <v>525890</v>
          </cell>
        </row>
        <row r="800">
          <cell r="U800">
            <v>27750</v>
          </cell>
          <cell r="V800">
            <v>0</v>
          </cell>
        </row>
        <row r="801">
          <cell r="U801">
            <v>3450</v>
          </cell>
          <cell r="V801">
            <v>0</v>
          </cell>
        </row>
        <row r="802">
          <cell r="U802">
            <v>8909</v>
          </cell>
          <cell r="V802">
            <v>0</v>
          </cell>
        </row>
        <row r="805">
          <cell r="D805">
            <v>14</v>
          </cell>
          <cell r="U805">
            <v>13840</v>
          </cell>
          <cell r="V805">
            <v>193760</v>
          </cell>
        </row>
        <row r="806">
          <cell r="U806">
            <v>11070</v>
          </cell>
          <cell r="V806">
            <v>0</v>
          </cell>
        </row>
        <row r="807">
          <cell r="U807">
            <v>375680</v>
          </cell>
          <cell r="V807">
            <v>0</v>
          </cell>
        </row>
        <row r="811">
          <cell r="V811">
            <v>0</v>
          </cell>
        </row>
        <row r="882">
          <cell r="V882">
            <v>80203980</v>
          </cell>
        </row>
        <row r="961">
          <cell r="V961">
            <v>1887805</v>
          </cell>
        </row>
        <row r="1036">
          <cell r="D1036">
            <v>3</v>
          </cell>
          <cell r="U1036">
            <v>8850</v>
          </cell>
          <cell r="V1036">
            <v>26550</v>
          </cell>
        </row>
        <row r="1037">
          <cell r="V1037">
            <v>930210</v>
          </cell>
        </row>
        <row r="1098">
          <cell r="V1098">
            <v>3587760</v>
          </cell>
        </row>
        <row r="1166">
          <cell r="V1166">
            <v>3054690</v>
          </cell>
        </row>
        <row r="1197">
          <cell r="D1197">
            <v>687</v>
          </cell>
          <cell r="U1197">
            <v>4740</v>
          </cell>
          <cell r="V1197">
            <v>3256380</v>
          </cell>
        </row>
        <row r="1198">
          <cell r="D1198">
            <v>8</v>
          </cell>
          <cell r="U1198">
            <v>13370</v>
          </cell>
          <cell r="V1198">
            <v>106960</v>
          </cell>
        </row>
        <row r="1199">
          <cell r="D1199">
            <v>31</v>
          </cell>
          <cell r="U1199">
            <v>22670</v>
          </cell>
          <cell r="V1199">
            <v>702770</v>
          </cell>
        </row>
        <row r="1200">
          <cell r="U1200">
            <v>43280</v>
          </cell>
          <cell r="V1200">
            <v>0</v>
          </cell>
        </row>
        <row r="1201">
          <cell r="D1201">
            <v>49</v>
          </cell>
          <cell r="U1201">
            <v>48240</v>
          </cell>
          <cell r="V1201">
            <v>2363760</v>
          </cell>
        </row>
        <row r="1202">
          <cell r="U1202">
            <v>27060</v>
          </cell>
          <cell r="V1202">
            <v>0</v>
          </cell>
        </row>
        <row r="1203">
          <cell r="U1203">
            <v>209350</v>
          </cell>
          <cell r="V1203">
            <v>0</v>
          </cell>
        </row>
        <row r="1204">
          <cell r="U1204">
            <v>238000</v>
          </cell>
          <cell r="V1204">
            <v>0</v>
          </cell>
        </row>
        <row r="1205">
          <cell r="U1205">
            <v>194080</v>
          </cell>
          <cell r="V1205">
            <v>0</v>
          </cell>
        </row>
        <row r="1206">
          <cell r="U1206">
            <v>249290</v>
          </cell>
          <cell r="V1206">
            <v>0</v>
          </cell>
        </row>
        <row r="1207">
          <cell r="U1207">
            <v>255080</v>
          </cell>
          <cell r="V1207">
            <v>0</v>
          </cell>
        </row>
        <row r="1208">
          <cell r="U1208">
            <v>215710</v>
          </cell>
          <cell r="V1208">
            <v>0</v>
          </cell>
        </row>
        <row r="1209">
          <cell r="U1209">
            <v>230250</v>
          </cell>
          <cell r="V1209">
            <v>0</v>
          </cell>
        </row>
        <row r="1210">
          <cell r="U1210">
            <v>275320</v>
          </cell>
          <cell r="V1210">
            <v>0</v>
          </cell>
        </row>
        <row r="1211">
          <cell r="U1211">
            <v>244150</v>
          </cell>
          <cell r="V1211">
            <v>0</v>
          </cell>
        </row>
        <row r="1212">
          <cell r="U1212">
            <v>1786710</v>
          </cell>
          <cell r="V1212">
            <v>0</v>
          </cell>
        </row>
        <row r="1213">
          <cell r="U1213">
            <v>1115980</v>
          </cell>
          <cell r="V1213">
            <v>0</v>
          </cell>
        </row>
        <row r="1214">
          <cell r="U1214">
            <v>1080140</v>
          </cell>
          <cell r="V1214">
            <v>0</v>
          </cell>
        </row>
        <row r="1215">
          <cell r="U1215">
            <v>1131580</v>
          </cell>
          <cell r="V1215">
            <v>0</v>
          </cell>
        </row>
        <row r="1216">
          <cell r="U1216">
            <v>160130</v>
          </cell>
          <cell r="V1216">
            <v>0</v>
          </cell>
        </row>
        <row r="1217">
          <cell r="U1217">
            <v>365410</v>
          </cell>
          <cell r="V1217">
            <v>0</v>
          </cell>
        </row>
        <row r="1218">
          <cell r="U1218">
            <v>135470</v>
          </cell>
          <cell r="V1218">
            <v>0</v>
          </cell>
        </row>
        <row r="1219">
          <cell r="U1219">
            <v>1097590</v>
          </cell>
          <cell r="V1219">
            <v>0</v>
          </cell>
        </row>
        <row r="1220">
          <cell r="U1220">
            <v>1097590</v>
          </cell>
          <cell r="V1220">
            <v>0</v>
          </cell>
        </row>
        <row r="1221">
          <cell r="V1221">
            <v>670480</v>
          </cell>
        </row>
        <row r="1287">
          <cell r="V1287">
            <v>570620</v>
          </cell>
        </row>
        <row r="1354">
          <cell r="D1354">
            <v>49</v>
          </cell>
          <cell r="U1354">
            <v>32740</v>
          </cell>
          <cell r="V1354">
            <v>1604260</v>
          </cell>
        </row>
        <row r="1355">
          <cell r="U1355">
            <v>39490</v>
          </cell>
          <cell r="V1355">
            <v>0</v>
          </cell>
        </row>
        <row r="1356">
          <cell r="D1356">
            <v>5</v>
          </cell>
          <cell r="U1356">
            <v>42060</v>
          </cell>
          <cell r="V1356">
            <v>210300</v>
          </cell>
        </row>
        <row r="1357">
          <cell r="V1357">
            <v>40163160</v>
          </cell>
        </row>
        <row r="1441">
          <cell r="V1441">
            <v>1483540</v>
          </cell>
        </row>
        <row r="1481">
          <cell r="U1481">
            <v>40370</v>
          </cell>
          <cell r="V1481">
            <v>0</v>
          </cell>
        </row>
        <row r="1482">
          <cell r="U1482">
            <v>25390</v>
          </cell>
          <cell r="V1482">
            <v>0</v>
          </cell>
        </row>
        <row r="1483">
          <cell r="U1483">
            <v>26150</v>
          </cell>
          <cell r="V1483">
            <v>0</v>
          </cell>
        </row>
        <row r="1484">
          <cell r="U1484">
            <v>784500</v>
          </cell>
          <cell r="V1484">
            <v>0</v>
          </cell>
        </row>
        <row r="1485">
          <cell r="U1485">
            <v>356330</v>
          </cell>
          <cell r="V1485">
            <v>0</v>
          </cell>
        </row>
        <row r="1486">
          <cell r="U1486">
            <v>544860</v>
          </cell>
          <cell r="V1486">
            <v>0</v>
          </cell>
        </row>
        <row r="1487">
          <cell r="U1487">
            <v>49130</v>
          </cell>
          <cell r="V1487">
            <v>0</v>
          </cell>
        </row>
        <row r="1488">
          <cell r="U1488">
            <v>638670</v>
          </cell>
          <cell r="V1488">
            <v>0</v>
          </cell>
        </row>
        <row r="1489">
          <cell r="V1489">
            <v>5790840</v>
          </cell>
        </row>
        <row r="1574">
          <cell r="V1574">
            <v>12217330</v>
          </cell>
        </row>
        <row r="1592">
          <cell r="V1592">
            <v>2704050</v>
          </cell>
        </row>
        <row r="1597">
          <cell r="V1597">
            <v>10007940</v>
          </cell>
        </row>
        <row r="1631">
          <cell r="V1631">
            <v>8032810</v>
          </cell>
        </row>
        <row r="1632">
          <cell r="V1632">
            <v>0</v>
          </cell>
        </row>
        <row r="1633">
          <cell r="D1633">
            <v>28</v>
          </cell>
          <cell r="V1633">
            <v>2649640</v>
          </cell>
        </row>
        <row r="1634">
          <cell r="D1634">
            <v>43</v>
          </cell>
          <cell r="V1634">
            <v>5383170</v>
          </cell>
        </row>
        <row r="1635">
          <cell r="V1635">
            <v>0</v>
          </cell>
        </row>
        <row r="1636">
          <cell r="D1636">
            <v>76</v>
          </cell>
          <cell r="U1636">
            <v>125180</v>
          </cell>
          <cell r="V1636">
            <v>9513680</v>
          </cell>
        </row>
        <row r="1637">
          <cell r="D1637">
            <v>2</v>
          </cell>
          <cell r="U1637">
            <v>131720</v>
          </cell>
          <cell r="V1637">
            <v>263440</v>
          </cell>
        </row>
        <row r="1639">
          <cell r="V1639">
            <v>8494335</v>
          </cell>
        </row>
        <row r="1845">
          <cell r="D1845">
            <v>3</v>
          </cell>
          <cell r="F1845">
            <v>0</v>
          </cell>
          <cell r="G1845">
            <v>0</v>
          </cell>
          <cell r="V1845">
            <v>157080</v>
          </cell>
        </row>
        <row r="1849">
          <cell r="D1849">
            <v>41</v>
          </cell>
          <cell r="V1849">
            <v>2551060</v>
          </cell>
        </row>
        <row r="1861">
          <cell r="D1861">
            <v>32</v>
          </cell>
          <cell r="U1861">
            <v>27160</v>
          </cell>
          <cell r="V1861">
            <v>869120</v>
          </cell>
        </row>
        <row r="1863">
          <cell r="D1863">
            <v>218</v>
          </cell>
          <cell r="U1863">
            <v>17890</v>
          </cell>
          <cell r="V1863">
            <v>3900020</v>
          </cell>
        </row>
        <row r="1864">
          <cell r="D1864">
            <v>190</v>
          </cell>
          <cell r="U1864">
            <v>56280</v>
          </cell>
          <cell r="V1864">
            <v>10693200</v>
          </cell>
        </row>
        <row r="1865">
          <cell r="U1865">
            <v>69770</v>
          </cell>
          <cell r="V1865">
            <v>0</v>
          </cell>
        </row>
        <row r="1866">
          <cell r="D1866">
            <v>149</v>
          </cell>
          <cell r="U1866">
            <v>2450</v>
          </cell>
          <cell r="V1866">
            <v>365050</v>
          </cell>
        </row>
        <row r="1867">
          <cell r="U1867">
            <v>70</v>
          </cell>
          <cell r="V1867">
            <v>0</v>
          </cell>
        </row>
        <row r="1868">
          <cell r="U1868">
            <v>148120</v>
          </cell>
          <cell r="V1868">
            <v>0</v>
          </cell>
        </row>
        <row r="1869">
          <cell r="U1869">
            <v>10070</v>
          </cell>
          <cell r="V1869">
            <v>0</v>
          </cell>
        </row>
        <row r="1871">
          <cell r="V1871">
            <v>4794260</v>
          </cell>
        </row>
        <row r="1889">
          <cell r="V1889">
            <v>7240050</v>
          </cell>
        </row>
        <row r="1914">
          <cell r="V1914">
            <v>2169960</v>
          </cell>
        </row>
        <row r="1941">
          <cell r="D1941">
            <v>450</v>
          </cell>
          <cell r="U1941">
            <v>18750</v>
          </cell>
          <cell r="V1941">
            <v>8437500</v>
          </cell>
        </row>
        <row r="1942">
          <cell r="U1942">
            <v>235010</v>
          </cell>
          <cell r="V1942">
            <v>0</v>
          </cell>
        </row>
        <row r="1944">
          <cell r="U1944">
            <v>240030</v>
          </cell>
          <cell r="V1944">
            <v>0</v>
          </cell>
        </row>
        <row r="1945">
          <cell r="U1945">
            <v>34110</v>
          </cell>
          <cell r="V1945">
            <v>0</v>
          </cell>
        </row>
        <row r="1946">
          <cell r="U1946">
            <v>128660</v>
          </cell>
          <cell r="V1946">
            <v>0</v>
          </cell>
        </row>
        <row r="1947">
          <cell r="U1947">
            <v>128660</v>
          </cell>
          <cell r="V1947">
            <v>0</v>
          </cell>
        </row>
        <row r="1948">
          <cell r="U1948">
            <v>234230</v>
          </cell>
          <cell r="V1948">
            <v>0</v>
          </cell>
        </row>
        <row r="1949">
          <cell r="U1949">
            <v>359460</v>
          </cell>
          <cell r="V1949">
            <v>0</v>
          </cell>
        </row>
        <row r="1950">
          <cell r="U1950">
            <v>613210</v>
          </cell>
          <cell r="V1950">
            <v>0</v>
          </cell>
        </row>
        <row r="1951">
          <cell r="U1951">
            <v>127720</v>
          </cell>
          <cell r="V1951">
            <v>0</v>
          </cell>
        </row>
        <row r="1952">
          <cell r="U1952">
            <v>344230</v>
          </cell>
          <cell r="V1952">
            <v>0</v>
          </cell>
        </row>
        <row r="1953">
          <cell r="U1953">
            <v>144940</v>
          </cell>
          <cell r="V1953">
            <v>0</v>
          </cell>
        </row>
        <row r="1954">
          <cell r="U1954">
            <v>125950</v>
          </cell>
          <cell r="V1954">
            <v>0</v>
          </cell>
        </row>
        <row r="1955">
          <cell r="U1955">
            <v>191490</v>
          </cell>
          <cell r="V1955">
            <v>0</v>
          </cell>
        </row>
        <row r="1956">
          <cell r="U1956">
            <v>50390</v>
          </cell>
          <cell r="V1956">
            <v>0</v>
          </cell>
        </row>
        <row r="1957">
          <cell r="U1957">
            <v>37660</v>
          </cell>
          <cell r="V1957">
            <v>0</v>
          </cell>
        </row>
        <row r="1958">
          <cell r="U1958">
            <v>206500</v>
          </cell>
          <cell r="V1958">
            <v>0</v>
          </cell>
        </row>
        <row r="1959">
          <cell r="U1959">
            <v>1228440</v>
          </cell>
          <cell r="V1959">
            <v>0</v>
          </cell>
        </row>
        <row r="1960">
          <cell r="U1960">
            <v>185340</v>
          </cell>
          <cell r="V1960">
            <v>0</v>
          </cell>
        </row>
        <row r="1961">
          <cell r="U1961">
            <v>163900</v>
          </cell>
          <cell r="V1961">
            <v>0</v>
          </cell>
        </row>
        <row r="1962">
          <cell r="U1962">
            <v>332720</v>
          </cell>
          <cell r="V1962">
            <v>0</v>
          </cell>
        </row>
        <row r="1963">
          <cell r="U1963">
            <v>1106400</v>
          </cell>
          <cell r="V1963">
            <v>0</v>
          </cell>
        </row>
        <row r="1964">
          <cell r="U1964">
            <v>1137010</v>
          </cell>
          <cell r="V1964">
            <v>0</v>
          </cell>
        </row>
        <row r="1965">
          <cell r="U1965">
            <v>900260</v>
          </cell>
          <cell r="V1965">
            <v>0</v>
          </cell>
        </row>
        <row r="1966">
          <cell r="U1966">
            <v>948790</v>
          </cell>
          <cell r="V1966">
            <v>0</v>
          </cell>
        </row>
        <row r="1967">
          <cell r="U1967">
            <v>374290</v>
          </cell>
          <cell r="V1967">
            <v>0</v>
          </cell>
        </row>
        <row r="1968">
          <cell r="U1968">
            <v>89640</v>
          </cell>
          <cell r="V1968">
            <v>0</v>
          </cell>
        </row>
        <row r="1969">
          <cell r="U1969">
            <v>267430</v>
          </cell>
          <cell r="V1969">
            <v>0</v>
          </cell>
        </row>
        <row r="1970">
          <cell r="U1970">
            <v>75610</v>
          </cell>
          <cell r="V1970">
            <v>0</v>
          </cell>
        </row>
        <row r="1971">
          <cell r="U1971">
            <v>1299270</v>
          </cell>
          <cell r="V1971">
            <v>0</v>
          </cell>
        </row>
        <row r="1972">
          <cell r="U1972">
            <v>303800</v>
          </cell>
          <cell r="V1972">
            <v>0</v>
          </cell>
        </row>
        <row r="1973">
          <cell r="U1973">
            <v>1017740</v>
          </cell>
          <cell r="V1973">
            <v>0</v>
          </cell>
        </row>
        <row r="1974">
          <cell r="U1974">
            <v>623060</v>
          </cell>
          <cell r="V1974">
            <v>0</v>
          </cell>
        </row>
        <row r="1975">
          <cell r="U1975">
            <v>508460</v>
          </cell>
          <cell r="V1975">
            <v>0</v>
          </cell>
        </row>
        <row r="1976">
          <cell r="U1976">
            <v>274090</v>
          </cell>
          <cell r="V1976">
            <v>0</v>
          </cell>
        </row>
        <row r="1977">
          <cell r="U1977">
            <v>159800</v>
          </cell>
          <cell r="V1977">
            <v>0</v>
          </cell>
        </row>
        <row r="1978">
          <cell r="U1978">
            <v>386120</v>
          </cell>
          <cell r="V1978">
            <v>0</v>
          </cell>
        </row>
        <row r="1979">
          <cell r="U1979">
            <v>400140</v>
          </cell>
          <cell r="V1979">
            <v>0</v>
          </cell>
        </row>
        <row r="1980">
          <cell r="U1980">
            <v>250030</v>
          </cell>
          <cell r="V1980">
            <v>0</v>
          </cell>
        </row>
        <row r="1981">
          <cell r="D1981">
            <v>102</v>
          </cell>
          <cell r="U1981">
            <v>34000</v>
          </cell>
          <cell r="V1981">
            <v>3468000</v>
          </cell>
        </row>
        <row r="1983">
          <cell r="D1983">
            <v>6</v>
          </cell>
          <cell r="U1983">
            <v>6690</v>
          </cell>
          <cell r="V1983">
            <v>40140</v>
          </cell>
        </row>
        <row r="1984">
          <cell r="U1984">
            <v>3560</v>
          </cell>
          <cell r="V1984">
            <v>0</v>
          </cell>
        </row>
        <row r="1985">
          <cell r="D1985">
            <v>1</v>
          </cell>
          <cell r="U1985">
            <v>13430</v>
          </cell>
          <cell r="V1985">
            <v>13430</v>
          </cell>
        </row>
        <row r="1986">
          <cell r="U1986">
            <v>137660</v>
          </cell>
          <cell r="V1986">
            <v>0</v>
          </cell>
        </row>
        <row r="1987">
          <cell r="D1987">
            <v>1</v>
          </cell>
          <cell r="U1987">
            <v>756090</v>
          </cell>
          <cell r="V1987">
            <v>756090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2014</v>
          </cell>
        </row>
        <row r="11">
          <cell r="B11" t="str">
            <v xml:space="preserve">DR. FRANCISCO MARTINEZ CABALLA </v>
          </cell>
        </row>
        <row r="12">
          <cell r="A12" t="str">
            <v>Jefe de Estadisticas</v>
          </cell>
          <cell r="B12" t="str">
            <v xml:space="preserve">SRA. MARIA INES NUÑEZ GONZALEZ </v>
          </cell>
        </row>
      </sheetData>
      <sheetData sheetId="1"/>
      <sheetData sheetId="2">
        <row r="12">
          <cell r="D12">
            <v>63771</v>
          </cell>
        </row>
        <row r="13">
          <cell r="D13">
            <v>23514</v>
          </cell>
        </row>
        <row r="14">
          <cell r="D14">
            <v>28482</v>
          </cell>
        </row>
        <row r="15">
          <cell r="D15">
            <v>1358</v>
          </cell>
        </row>
        <row r="16">
          <cell r="D16">
            <v>0</v>
          </cell>
        </row>
        <row r="17">
          <cell r="D17">
            <v>1508</v>
          </cell>
        </row>
        <row r="18">
          <cell r="D18">
            <v>5747</v>
          </cell>
        </row>
        <row r="19">
          <cell r="D19">
            <v>4784</v>
          </cell>
        </row>
        <row r="20">
          <cell r="D20">
            <v>60</v>
          </cell>
        </row>
        <row r="21">
          <cell r="D21">
            <v>903</v>
          </cell>
        </row>
        <row r="22">
          <cell r="D22">
            <v>0</v>
          </cell>
        </row>
        <row r="23">
          <cell r="D23">
            <v>98</v>
          </cell>
        </row>
        <row r="24">
          <cell r="D24">
            <v>3064</v>
          </cell>
        </row>
        <row r="25">
          <cell r="D25">
            <v>4407</v>
          </cell>
        </row>
        <row r="26">
          <cell r="D26">
            <v>2856</v>
          </cell>
        </row>
        <row r="27">
          <cell r="D27">
            <v>11</v>
          </cell>
        </row>
        <row r="28">
          <cell r="D28">
            <v>699</v>
          </cell>
        </row>
        <row r="30">
          <cell r="D30">
            <v>430</v>
          </cell>
        </row>
        <row r="31">
          <cell r="D31">
            <v>208</v>
          </cell>
        </row>
        <row r="32">
          <cell r="D32">
            <v>203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221</v>
          </cell>
          <cell r="G69">
            <v>0</v>
          </cell>
          <cell r="H69">
            <v>0</v>
          </cell>
        </row>
        <row r="70">
          <cell r="F70">
            <v>32</v>
          </cell>
          <cell r="G70">
            <v>3</v>
          </cell>
          <cell r="H70">
            <v>0</v>
          </cell>
        </row>
        <row r="71">
          <cell r="F71">
            <v>9</v>
          </cell>
          <cell r="G71">
            <v>0</v>
          </cell>
          <cell r="H71">
            <v>0</v>
          </cell>
        </row>
        <row r="72">
          <cell r="F72">
            <v>73</v>
          </cell>
          <cell r="G72">
            <v>3</v>
          </cell>
          <cell r="H72">
            <v>0</v>
          </cell>
        </row>
        <row r="73">
          <cell r="F73">
            <v>132</v>
          </cell>
          <cell r="G73">
            <v>4</v>
          </cell>
          <cell r="H73">
            <v>0</v>
          </cell>
        </row>
        <row r="74">
          <cell r="F74">
            <v>2</v>
          </cell>
          <cell r="G74">
            <v>1</v>
          </cell>
          <cell r="H74">
            <v>0</v>
          </cell>
        </row>
        <row r="75">
          <cell r="F75">
            <v>1</v>
          </cell>
          <cell r="G75">
            <v>0</v>
          </cell>
          <cell r="H75">
            <v>0</v>
          </cell>
        </row>
        <row r="76">
          <cell r="F76">
            <v>140</v>
          </cell>
          <cell r="G76">
            <v>28</v>
          </cell>
          <cell r="H76">
            <v>0</v>
          </cell>
        </row>
        <row r="77">
          <cell r="F77">
            <v>12</v>
          </cell>
          <cell r="G77">
            <v>1</v>
          </cell>
          <cell r="H77">
            <v>0</v>
          </cell>
        </row>
        <row r="78">
          <cell r="F78">
            <v>37</v>
          </cell>
          <cell r="G78">
            <v>7</v>
          </cell>
          <cell r="H78">
            <v>0</v>
          </cell>
        </row>
        <row r="79">
          <cell r="F79">
            <v>8</v>
          </cell>
          <cell r="G79">
            <v>0</v>
          </cell>
          <cell r="H79">
            <v>0</v>
          </cell>
        </row>
        <row r="80">
          <cell r="F80">
            <v>49</v>
          </cell>
          <cell r="G80">
            <v>8</v>
          </cell>
          <cell r="H80">
            <v>0</v>
          </cell>
        </row>
        <row r="81">
          <cell r="F81">
            <v>58</v>
          </cell>
          <cell r="G81">
            <v>0</v>
          </cell>
          <cell r="H81">
            <v>0</v>
          </cell>
        </row>
        <row r="82">
          <cell r="F82">
            <v>50</v>
          </cell>
          <cell r="G82">
            <v>0</v>
          </cell>
          <cell r="H82">
            <v>0</v>
          </cell>
        </row>
        <row r="130">
          <cell r="E130">
            <v>1105</v>
          </cell>
        </row>
      </sheetData>
      <sheetData sheetId="3">
        <row r="13">
          <cell r="U13">
            <v>4170</v>
          </cell>
          <cell r="V13">
            <v>0</v>
          </cell>
        </row>
        <row r="14">
          <cell r="U14">
            <v>5240</v>
          </cell>
          <cell r="V14">
            <v>0</v>
          </cell>
        </row>
        <row r="15">
          <cell r="D15">
            <v>6393</v>
          </cell>
          <cell r="U15">
            <v>11250</v>
          </cell>
          <cell r="V15">
            <v>71921250</v>
          </cell>
        </row>
        <row r="16">
          <cell r="U16">
            <v>6720</v>
          </cell>
          <cell r="V16">
            <v>0</v>
          </cell>
        </row>
        <row r="17">
          <cell r="U17">
            <v>7370</v>
          </cell>
          <cell r="V17">
            <v>0</v>
          </cell>
        </row>
        <row r="18">
          <cell r="U18">
            <v>14110</v>
          </cell>
          <cell r="V18">
            <v>0</v>
          </cell>
        </row>
        <row r="19">
          <cell r="D19">
            <v>50</v>
          </cell>
          <cell r="U19">
            <v>14110</v>
          </cell>
          <cell r="V19">
            <v>705500</v>
          </cell>
        </row>
        <row r="20">
          <cell r="U20">
            <v>5690</v>
          </cell>
          <cell r="V20">
            <v>0</v>
          </cell>
        </row>
        <row r="21">
          <cell r="U21">
            <v>6820</v>
          </cell>
          <cell r="V21">
            <v>0</v>
          </cell>
        </row>
        <row r="22">
          <cell r="U22">
            <v>8460</v>
          </cell>
          <cell r="V22">
            <v>0</v>
          </cell>
        </row>
        <row r="23">
          <cell r="D23">
            <v>2073</v>
          </cell>
          <cell r="U23">
            <v>5690</v>
          </cell>
          <cell r="V23">
            <v>11795370</v>
          </cell>
        </row>
        <row r="24">
          <cell r="D24">
            <v>1372</v>
          </cell>
          <cell r="U24">
            <v>6820</v>
          </cell>
          <cell r="V24">
            <v>9357040</v>
          </cell>
        </row>
        <row r="25">
          <cell r="D25">
            <v>2339</v>
          </cell>
          <cell r="U25">
            <v>8460</v>
          </cell>
          <cell r="V25">
            <v>19787940</v>
          </cell>
        </row>
        <row r="27">
          <cell r="D27">
            <v>1755</v>
          </cell>
          <cell r="U27">
            <v>1110</v>
          </cell>
          <cell r="V27">
            <v>1948050</v>
          </cell>
        </row>
        <row r="28">
          <cell r="U28">
            <v>1900</v>
          </cell>
          <cell r="V28">
            <v>0</v>
          </cell>
        </row>
        <row r="29">
          <cell r="U29">
            <v>610</v>
          </cell>
          <cell r="V29">
            <v>0</v>
          </cell>
        </row>
        <row r="30">
          <cell r="D30">
            <v>91</v>
          </cell>
          <cell r="U30">
            <v>1500</v>
          </cell>
          <cell r="V30">
            <v>136500</v>
          </cell>
        </row>
        <row r="31">
          <cell r="D31">
            <v>1880</v>
          </cell>
          <cell r="U31">
            <v>1210</v>
          </cell>
          <cell r="V31">
            <v>2274800</v>
          </cell>
        </row>
        <row r="32">
          <cell r="U32">
            <v>1110</v>
          </cell>
          <cell r="V32">
            <v>0</v>
          </cell>
        </row>
        <row r="34">
          <cell r="D34">
            <v>45</v>
          </cell>
          <cell r="U34">
            <v>3640</v>
          </cell>
          <cell r="V34">
            <v>163800</v>
          </cell>
        </row>
        <row r="35">
          <cell r="D35">
            <v>597</v>
          </cell>
          <cell r="U35">
            <v>2000</v>
          </cell>
          <cell r="V35">
            <v>1194000</v>
          </cell>
        </row>
        <row r="36">
          <cell r="U36">
            <v>2000</v>
          </cell>
          <cell r="V36">
            <v>0</v>
          </cell>
        </row>
        <row r="37">
          <cell r="D37">
            <v>616</v>
          </cell>
          <cell r="U37">
            <v>610</v>
          </cell>
          <cell r="V37">
            <v>375760</v>
          </cell>
        </row>
        <row r="39">
          <cell r="D39">
            <v>9</v>
          </cell>
          <cell r="U39">
            <v>1730</v>
          </cell>
          <cell r="V39">
            <v>15570</v>
          </cell>
        </row>
        <row r="40">
          <cell r="D40">
            <v>18</v>
          </cell>
          <cell r="U40">
            <v>1730</v>
          </cell>
          <cell r="V40">
            <v>31140</v>
          </cell>
        </row>
        <row r="41">
          <cell r="U41">
            <v>1000</v>
          </cell>
          <cell r="V41">
            <v>0</v>
          </cell>
        </row>
        <row r="43">
          <cell r="D43">
            <v>298</v>
          </cell>
          <cell r="U43">
            <v>760</v>
          </cell>
          <cell r="V43">
            <v>226480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1350</v>
          </cell>
          <cell r="V47">
            <v>0</v>
          </cell>
        </row>
        <row r="48">
          <cell r="D48">
            <v>492</v>
          </cell>
          <cell r="U48">
            <v>660</v>
          </cell>
          <cell r="V48">
            <v>324720</v>
          </cell>
        </row>
        <row r="49">
          <cell r="D49">
            <v>304</v>
          </cell>
          <cell r="U49">
            <v>2000</v>
          </cell>
          <cell r="V49">
            <v>608000</v>
          </cell>
        </row>
        <row r="50">
          <cell r="D50">
            <v>51</v>
          </cell>
          <cell r="U50">
            <v>15030</v>
          </cell>
          <cell r="V50">
            <v>766530</v>
          </cell>
        </row>
        <row r="51">
          <cell r="D51">
            <v>83</v>
          </cell>
          <cell r="U51">
            <v>34510</v>
          </cell>
          <cell r="V51">
            <v>2864330</v>
          </cell>
        </row>
        <row r="52">
          <cell r="D52">
            <v>30</v>
          </cell>
          <cell r="V52">
            <v>258300</v>
          </cell>
        </row>
        <row r="59">
          <cell r="D59">
            <v>5336</v>
          </cell>
          <cell r="U59">
            <v>33020</v>
          </cell>
          <cell r="V59">
            <v>176194720</v>
          </cell>
        </row>
        <row r="60">
          <cell r="U60">
            <v>30400</v>
          </cell>
          <cell r="V60">
            <v>0</v>
          </cell>
        </row>
        <row r="61">
          <cell r="U61">
            <v>25340</v>
          </cell>
          <cell r="V61">
            <v>0</v>
          </cell>
        </row>
        <row r="62">
          <cell r="D62">
            <v>224</v>
          </cell>
          <cell r="U62">
            <v>137290</v>
          </cell>
          <cell r="V62">
            <v>30752960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123</v>
          </cell>
          <cell r="U65">
            <v>66300</v>
          </cell>
          <cell r="V65">
            <v>8154900</v>
          </cell>
        </row>
        <row r="66">
          <cell r="D66">
            <v>93</v>
          </cell>
          <cell r="V66">
            <v>6165900</v>
          </cell>
        </row>
        <row r="67">
          <cell r="V67">
            <v>0</v>
          </cell>
        </row>
        <row r="68">
          <cell r="D68">
            <v>187</v>
          </cell>
          <cell r="U68">
            <v>59490</v>
          </cell>
          <cell r="V68">
            <v>11124630</v>
          </cell>
        </row>
        <row r="69">
          <cell r="U69">
            <v>16880</v>
          </cell>
          <cell r="V69">
            <v>0</v>
          </cell>
        </row>
        <row r="70">
          <cell r="U70">
            <v>26450</v>
          </cell>
          <cell r="V70">
            <v>0</v>
          </cell>
        </row>
        <row r="71">
          <cell r="U71">
            <v>27530</v>
          </cell>
          <cell r="V71">
            <v>0</v>
          </cell>
        </row>
        <row r="72">
          <cell r="U72">
            <v>11100</v>
          </cell>
          <cell r="V72">
            <v>0</v>
          </cell>
        </row>
        <row r="73">
          <cell r="U73">
            <v>26670</v>
          </cell>
          <cell r="V73">
            <v>0</v>
          </cell>
        </row>
        <row r="74">
          <cell r="U74">
            <v>11100</v>
          </cell>
          <cell r="V74">
            <v>0</v>
          </cell>
        </row>
        <row r="75">
          <cell r="U75">
            <v>4890</v>
          </cell>
          <cell r="V75">
            <v>0</v>
          </cell>
        </row>
        <row r="76">
          <cell r="U76">
            <v>33020</v>
          </cell>
          <cell r="V76">
            <v>0</v>
          </cell>
        </row>
        <row r="77">
          <cell r="U77">
            <v>89270</v>
          </cell>
          <cell r="V77">
            <v>0</v>
          </cell>
        </row>
        <row r="78">
          <cell r="U78">
            <v>10540</v>
          </cell>
          <cell r="V78">
            <v>0</v>
          </cell>
        </row>
        <row r="79">
          <cell r="D79">
            <v>24</v>
          </cell>
          <cell r="U79">
            <v>6410</v>
          </cell>
          <cell r="V79">
            <v>153840</v>
          </cell>
        </row>
        <row r="80">
          <cell r="U80">
            <v>46280</v>
          </cell>
          <cell r="V80">
            <v>0</v>
          </cell>
        </row>
        <row r="81">
          <cell r="U81">
            <v>8120</v>
          </cell>
          <cell r="V81">
            <v>0</v>
          </cell>
        </row>
        <row r="83">
          <cell r="V83">
            <v>24675880</v>
          </cell>
        </row>
        <row r="174">
          <cell r="V174">
            <v>33599390</v>
          </cell>
        </row>
        <row r="243">
          <cell r="V243">
            <v>4732260</v>
          </cell>
        </row>
        <row r="289">
          <cell r="V289">
            <v>0</v>
          </cell>
        </row>
        <row r="295">
          <cell r="V295">
            <v>7156400</v>
          </cell>
        </row>
        <row r="362">
          <cell r="V362">
            <v>10968510</v>
          </cell>
        </row>
        <row r="405">
          <cell r="V405">
            <v>165510</v>
          </cell>
        </row>
        <row r="428">
          <cell r="V428">
            <v>3703750</v>
          </cell>
        </row>
        <row r="446">
          <cell r="V446">
            <v>0</v>
          </cell>
        </row>
        <row r="456">
          <cell r="V456">
            <v>213420</v>
          </cell>
        </row>
        <row r="500">
          <cell r="V500">
            <v>3896320</v>
          </cell>
        </row>
        <row r="535">
          <cell r="V535">
            <v>22786970</v>
          </cell>
        </row>
        <row r="590">
          <cell r="V590">
            <v>415910</v>
          </cell>
        </row>
        <row r="615">
          <cell r="V615">
            <v>35275340</v>
          </cell>
        </row>
        <row r="633">
          <cell r="V633">
            <v>10809580</v>
          </cell>
        </row>
        <row r="634">
          <cell r="V634">
            <v>1058720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501</v>
          </cell>
          <cell r="V768">
            <v>3203890</v>
          </cell>
        </row>
        <row r="783">
          <cell r="V783">
            <v>0</v>
          </cell>
        </row>
        <row r="795">
          <cell r="D795">
            <v>154</v>
          </cell>
          <cell r="U795">
            <v>6900</v>
          </cell>
          <cell r="V795">
            <v>1062600</v>
          </cell>
        </row>
        <row r="796">
          <cell r="D796">
            <v>301</v>
          </cell>
          <cell r="U796">
            <v>2700</v>
          </cell>
          <cell r="V796">
            <v>812700</v>
          </cell>
        </row>
        <row r="797">
          <cell r="D797">
            <v>600</v>
          </cell>
          <cell r="U797">
            <v>2700</v>
          </cell>
          <cell r="V797">
            <v>1620000</v>
          </cell>
        </row>
        <row r="798">
          <cell r="D798">
            <v>1</v>
          </cell>
          <cell r="U798">
            <v>10760</v>
          </cell>
          <cell r="V798">
            <v>10760</v>
          </cell>
        </row>
        <row r="799">
          <cell r="D799">
            <v>30</v>
          </cell>
          <cell r="U799">
            <v>12600</v>
          </cell>
          <cell r="V799">
            <v>378000</v>
          </cell>
        </row>
        <row r="800">
          <cell r="U800">
            <v>28580</v>
          </cell>
          <cell r="V800">
            <v>0</v>
          </cell>
        </row>
        <row r="801">
          <cell r="U801">
            <v>3550</v>
          </cell>
          <cell r="V801">
            <v>0</v>
          </cell>
        </row>
        <row r="802">
          <cell r="U802">
            <v>9180</v>
          </cell>
          <cell r="V802">
            <v>0</v>
          </cell>
        </row>
        <row r="805">
          <cell r="D805">
            <v>16</v>
          </cell>
          <cell r="U805">
            <v>14260</v>
          </cell>
          <cell r="V805">
            <v>228160</v>
          </cell>
        </row>
        <row r="806">
          <cell r="U806">
            <v>11400</v>
          </cell>
          <cell r="V806">
            <v>0</v>
          </cell>
        </row>
        <row r="807">
          <cell r="U807">
            <v>386950</v>
          </cell>
          <cell r="V807">
            <v>0</v>
          </cell>
        </row>
        <row r="811">
          <cell r="V811">
            <v>0</v>
          </cell>
        </row>
        <row r="882">
          <cell r="V882">
            <v>49914690</v>
          </cell>
        </row>
        <row r="961">
          <cell r="V961">
            <v>2537405</v>
          </cell>
        </row>
        <row r="1036">
          <cell r="U1036">
            <v>9120</v>
          </cell>
          <cell r="V1036">
            <v>0</v>
          </cell>
        </row>
        <row r="1037">
          <cell r="V1037">
            <v>785810</v>
          </cell>
        </row>
        <row r="1098">
          <cell r="V1098">
            <v>4274380</v>
          </cell>
        </row>
        <row r="1166">
          <cell r="V1166">
            <v>4044650</v>
          </cell>
        </row>
        <row r="1197">
          <cell r="D1197">
            <v>357</v>
          </cell>
          <cell r="U1197">
            <v>4880</v>
          </cell>
          <cell r="V1197">
            <v>1742160</v>
          </cell>
        </row>
        <row r="1198">
          <cell r="D1198">
            <v>6</v>
          </cell>
          <cell r="U1198">
            <v>13770</v>
          </cell>
          <cell r="V1198">
            <v>82620</v>
          </cell>
        </row>
        <row r="1199">
          <cell r="D1199">
            <v>21</v>
          </cell>
          <cell r="U1199">
            <v>23350</v>
          </cell>
          <cell r="V1199">
            <v>490350</v>
          </cell>
        </row>
        <row r="1200">
          <cell r="U1200">
            <v>44580</v>
          </cell>
          <cell r="V1200">
            <v>0</v>
          </cell>
        </row>
        <row r="1201">
          <cell r="D1201">
            <v>48</v>
          </cell>
          <cell r="U1201">
            <v>49690</v>
          </cell>
          <cell r="V1201">
            <v>2385120</v>
          </cell>
        </row>
        <row r="1202">
          <cell r="U1202">
            <v>27870</v>
          </cell>
          <cell r="V1202">
            <v>0</v>
          </cell>
        </row>
        <row r="1203">
          <cell r="U1203">
            <v>215630</v>
          </cell>
          <cell r="V1203">
            <v>0</v>
          </cell>
        </row>
        <row r="1204">
          <cell r="U1204">
            <v>245140</v>
          </cell>
          <cell r="V1204">
            <v>0</v>
          </cell>
        </row>
        <row r="1205">
          <cell r="U1205">
            <v>199900</v>
          </cell>
          <cell r="V1205">
            <v>0</v>
          </cell>
        </row>
        <row r="1206">
          <cell r="U1206">
            <v>256770</v>
          </cell>
          <cell r="V1206">
            <v>0</v>
          </cell>
        </row>
        <row r="1207">
          <cell r="U1207">
            <v>262730</v>
          </cell>
          <cell r="V1207">
            <v>0</v>
          </cell>
        </row>
        <row r="1208">
          <cell r="U1208">
            <v>222180</v>
          </cell>
          <cell r="V1208">
            <v>0</v>
          </cell>
        </row>
        <row r="1209">
          <cell r="U1209">
            <v>237160</v>
          </cell>
          <cell r="V1209">
            <v>0</v>
          </cell>
        </row>
        <row r="1210">
          <cell r="U1210">
            <v>283580</v>
          </cell>
          <cell r="V1210">
            <v>0</v>
          </cell>
        </row>
        <row r="1211">
          <cell r="U1211">
            <v>251470</v>
          </cell>
          <cell r="V1211">
            <v>0</v>
          </cell>
        </row>
        <row r="1212">
          <cell r="U1212">
            <v>1840310</v>
          </cell>
          <cell r="V1212">
            <v>0</v>
          </cell>
        </row>
        <row r="1213">
          <cell r="U1213">
            <v>1149460</v>
          </cell>
          <cell r="V1213">
            <v>0</v>
          </cell>
        </row>
        <row r="1214">
          <cell r="U1214">
            <v>1112540</v>
          </cell>
          <cell r="V1214">
            <v>0</v>
          </cell>
        </row>
        <row r="1215">
          <cell r="U1215">
            <v>1165530</v>
          </cell>
          <cell r="V1215">
            <v>0</v>
          </cell>
        </row>
        <row r="1216">
          <cell r="U1216">
            <v>164930</v>
          </cell>
          <cell r="V1216">
            <v>0</v>
          </cell>
        </row>
        <row r="1217">
          <cell r="U1217">
            <v>376370</v>
          </cell>
          <cell r="V1217">
            <v>0</v>
          </cell>
        </row>
        <row r="1218">
          <cell r="U1218">
            <v>139530</v>
          </cell>
          <cell r="V1218">
            <v>0</v>
          </cell>
        </row>
        <row r="1219">
          <cell r="U1219">
            <v>1130520</v>
          </cell>
          <cell r="V1219">
            <v>0</v>
          </cell>
        </row>
        <row r="1220">
          <cell r="U1220">
            <v>1130520</v>
          </cell>
          <cell r="V1220">
            <v>0</v>
          </cell>
        </row>
        <row r="1221">
          <cell r="V1221">
            <v>475170</v>
          </cell>
        </row>
        <row r="1287">
          <cell r="V1287">
            <v>52610</v>
          </cell>
        </row>
        <row r="1354">
          <cell r="D1354">
            <v>36</v>
          </cell>
          <cell r="U1354">
            <v>33720</v>
          </cell>
          <cell r="V1354">
            <v>1213920</v>
          </cell>
        </row>
        <row r="1355">
          <cell r="U1355">
            <v>40670</v>
          </cell>
          <cell r="V1355">
            <v>0</v>
          </cell>
        </row>
        <row r="1356">
          <cell r="U1356">
            <v>43320</v>
          </cell>
          <cell r="V1356">
            <v>0</v>
          </cell>
        </row>
        <row r="1357">
          <cell r="V1357">
            <v>34038595</v>
          </cell>
        </row>
        <row r="1441">
          <cell r="V1441">
            <v>1199175</v>
          </cell>
        </row>
        <row r="1481">
          <cell r="U1481">
            <v>41580</v>
          </cell>
          <cell r="V1481">
            <v>0</v>
          </cell>
        </row>
        <row r="1482">
          <cell r="U1482">
            <v>26150</v>
          </cell>
          <cell r="V1482">
            <v>0</v>
          </cell>
        </row>
        <row r="1483">
          <cell r="U1483">
            <v>26930</v>
          </cell>
          <cell r="V1483">
            <v>0</v>
          </cell>
        </row>
        <row r="1484">
          <cell r="U1484">
            <v>808040</v>
          </cell>
          <cell r="V1484">
            <v>0</v>
          </cell>
        </row>
        <row r="1485">
          <cell r="U1485">
            <v>367020</v>
          </cell>
          <cell r="V1485">
            <v>0</v>
          </cell>
        </row>
        <row r="1486">
          <cell r="U1486">
            <v>561210</v>
          </cell>
          <cell r="V1486">
            <v>0</v>
          </cell>
        </row>
        <row r="1487">
          <cell r="U1487">
            <v>50600</v>
          </cell>
          <cell r="V1487">
            <v>0</v>
          </cell>
        </row>
        <row r="1488">
          <cell r="U1488">
            <v>657830</v>
          </cell>
          <cell r="V1488">
            <v>0</v>
          </cell>
        </row>
        <row r="1489">
          <cell r="V1489">
            <v>6871635</v>
          </cell>
        </row>
        <row r="1574">
          <cell r="V1574">
            <v>10427140</v>
          </cell>
        </row>
        <row r="1592">
          <cell r="V1592">
            <v>1599760</v>
          </cell>
        </row>
        <row r="1597">
          <cell r="V1597">
            <v>9927120</v>
          </cell>
        </row>
        <row r="1631">
          <cell r="V1631">
            <v>6629140</v>
          </cell>
        </row>
        <row r="1632">
          <cell r="V1632">
            <v>0</v>
          </cell>
        </row>
        <row r="1633">
          <cell r="D1633">
            <v>27</v>
          </cell>
          <cell r="V1633">
            <v>2631690</v>
          </cell>
        </row>
        <row r="1634">
          <cell r="D1634">
            <v>31</v>
          </cell>
          <cell r="V1634">
            <v>3997450</v>
          </cell>
        </row>
        <row r="1635">
          <cell r="V1635">
            <v>0</v>
          </cell>
        </row>
        <row r="1636">
          <cell r="D1636">
            <v>102</v>
          </cell>
          <cell r="U1636">
            <v>128940</v>
          </cell>
          <cell r="V1636">
            <v>13151880</v>
          </cell>
        </row>
        <row r="1637">
          <cell r="D1637">
            <v>3</v>
          </cell>
          <cell r="U1637">
            <v>135670</v>
          </cell>
          <cell r="V1637">
            <v>407010</v>
          </cell>
        </row>
        <row r="1639">
          <cell r="V1639">
            <v>9432610</v>
          </cell>
        </row>
        <row r="1845">
          <cell r="D1845">
            <v>5</v>
          </cell>
          <cell r="F1845">
            <v>0</v>
          </cell>
          <cell r="G1845">
            <v>0</v>
          </cell>
          <cell r="V1845">
            <v>323400</v>
          </cell>
        </row>
        <row r="1849">
          <cell r="D1849">
            <v>40</v>
          </cell>
          <cell r="V1849">
            <v>2660200</v>
          </cell>
        </row>
        <row r="1861">
          <cell r="D1861">
            <v>47</v>
          </cell>
          <cell r="U1861">
            <v>27970</v>
          </cell>
          <cell r="V1861">
            <v>1314590</v>
          </cell>
        </row>
        <row r="1863">
          <cell r="D1863">
            <v>192</v>
          </cell>
          <cell r="U1863">
            <v>18430</v>
          </cell>
          <cell r="V1863">
            <v>3538560</v>
          </cell>
        </row>
        <row r="1864">
          <cell r="D1864">
            <v>195</v>
          </cell>
          <cell r="U1864">
            <v>57970</v>
          </cell>
          <cell r="V1864">
            <v>11304150</v>
          </cell>
        </row>
        <row r="1865">
          <cell r="U1865">
            <v>71860</v>
          </cell>
          <cell r="V1865">
            <v>0</v>
          </cell>
        </row>
        <row r="1866">
          <cell r="D1866">
            <v>197</v>
          </cell>
          <cell r="U1866">
            <v>2520</v>
          </cell>
          <cell r="V1866">
            <v>496440</v>
          </cell>
        </row>
        <row r="1867">
          <cell r="U1867">
            <v>70</v>
          </cell>
          <cell r="V1867">
            <v>0</v>
          </cell>
        </row>
        <row r="1868">
          <cell r="U1868">
            <v>152560</v>
          </cell>
          <cell r="V1868">
            <v>0</v>
          </cell>
        </row>
        <row r="1869">
          <cell r="U1869">
            <v>10370</v>
          </cell>
          <cell r="V1869">
            <v>0</v>
          </cell>
        </row>
        <row r="1871">
          <cell r="V1871">
            <v>5073030</v>
          </cell>
        </row>
        <row r="1889">
          <cell r="V1889">
            <v>6866640</v>
          </cell>
        </row>
        <row r="1914">
          <cell r="V1914">
            <v>3724390</v>
          </cell>
        </row>
        <row r="1941">
          <cell r="D1941">
            <v>391</v>
          </cell>
          <cell r="U1941">
            <v>19310</v>
          </cell>
          <cell r="V1941">
            <v>7550210</v>
          </cell>
        </row>
        <row r="1942">
          <cell r="U1942">
            <v>242060</v>
          </cell>
          <cell r="V1942">
            <v>0</v>
          </cell>
        </row>
        <row r="1944">
          <cell r="U1944">
            <v>247230</v>
          </cell>
          <cell r="V1944">
            <v>0</v>
          </cell>
        </row>
        <row r="1945">
          <cell r="U1945">
            <v>35130</v>
          </cell>
          <cell r="V1945">
            <v>0</v>
          </cell>
        </row>
        <row r="1946">
          <cell r="U1946">
            <v>132520</v>
          </cell>
          <cell r="V1946">
            <v>0</v>
          </cell>
        </row>
        <row r="1947">
          <cell r="U1947">
            <v>132520</v>
          </cell>
          <cell r="V1947">
            <v>0</v>
          </cell>
        </row>
        <row r="1948">
          <cell r="U1948">
            <v>241260</v>
          </cell>
          <cell r="V1948">
            <v>0</v>
          </cell>
        </row>
        <row r="1949">
          <cell r="U1949">
            <v>370240</v>
          </cell>
          <cell r="V1949">
            <v>0</v>
          </cell>
        </row>
        <row r="1950">
          <cell r="U1950">
            <v>631610</v>
          </cell>
          <cell r="V1950">
            <v>0</v>
          </cell>
        </row>
        <row r="1951">
          <cell r="U1951">
            <v>131550</v>
          </cell>
          <cell r="V1951">
            <v>0</v>
          </cell>
        </row>
        <row r="1952">
          <cell r="U1952">
            <v>354560</v>
          </cell>
          <cell r="V1952">
            <v>0</v>
          </cell>
        </row>
        <row r="1953">
          <cell r="U1953">
            <v>149290</v>
          </cell>
          <cell r="V1953">
            <v>0</v>
          </cell>
        </row>
        <row r="1954">
          <cell r="U1954">
            <v>129730</v>
          </cell>
          <cell r="V1954">
            <v>0</v>
          </cell>
        </row>
        <row r="1955">
          <cell r="U1955">
            <v>197230</v>
          </cell>
          <cell r="V1955">
            <v>0</v>
          </cell>
        </row>
        <row r="1956">
          <cell r="U1956">
            <v>51900</v>
          </cell>
          <cell r="V1956">
            <v>0</v>
          </cell>
        </row>
        <row r="1957">
          <cell r="U1957">
            <v>38790</v>
          </cell>
          <cell r="V1957">
            <v>0</v>
          </cell>
        </row>
        <row r="1958">
          <cell r="U1958">
            <v>212700</v>
          </cell>
          <cell r="V1958">
            <v>0</v>
          </cell>
        </row>
        <row r="1959">
          <cell r="U1959">
            <v>1265290</v>
          </cell>
          <cell r="V1959">
            <v>0</v>
          </cell>
        </row>
        <row r="1960">
          <cell r="U1960">
            <v>190900</v>
          </cell>
          <cell r="V1960">
            <v>0</v>
          </cell>
        </row>
        <row r="1961">
          <cell r="U1961">
            <v>168820</v>
          </cell>
          <cell r="V1961">
            <v>0</v>
          </cell>
        </row>
        <row r="1962">
          <cell r="U1962">
            <v>342700</v>
          </cell>
          <cell r="V1962">
            <v>0</v>
          </cell>
        </row>
        <row r="1963">
          <cell r="U1963">
            <v>1139590</v>
          </cell>
          <cell r="V1963">
            <v>0</v>
          </cell>
        </row>
        <row r="1964">
          <cell r="U1964">
            <v>1171120</v>
          </cell>
          <cell r="V1964">
            <v>0</v>
          </cell>
        </row>
        <row r="1965">
          <cell r="U1965">
            <v>927270</v>
          </cell>
          <cell r="V1965">
            <v>0</v>
          </cell>
        </row>
        <row r="1966">
          <cell r="U1966">
            <v>977250</v>
          </cell>
          <cell r="V1966">
            <v>0</v>
          </cell>
        </row>
        <row r="1967">
          <cell r="U1967">
            <v>385520</v>
          </cell>
          <cell r="V1967">
            <v>0</v>
          </cell>
        </row>
        <row r="1968">
          <cell r="U1968">
            <v>92330</v>
          </cell>
          <cell r="V1968">
            <v>0</v>
          </cell>
        </row>
        <row r="1969">
          <cell r="U1969">
            <v>275450</v>
          </cell>
          <cell r="V1969">
            <v>0</v>
          </cell>
        </row>
        <row r="1970">
          <cell r="U1970">
            <v>77880</v>
          </cell>
          <cell r="V1970">
            <v>0</v>
          </cell>
        </row>
        <row r="1971">
          <cell r="U1971">
            <v>1338250</v>
          </cell>
          <cell r="V1971">
            <v>0</v>
          </cell>
        </row>
        <row r="1972">
          <cell r="U1972">
            <v>312910</v>
          </cell>
          <cell r="V1972">
            <v>0</v>
          </cell>
        </row>
        <row r="1973">
          <cell r="U1973">
            <v>1048270</v>
          </cell>
          <cell r="V1973">
            <v>0</v>
          </cell>
        </row>
        <row r="1974">
          <cell r="U1974">
            <v>641750</v>
          </cell>
          <cell r="V1974">
            <v>0</v>
          </cell>
        </row>
        <row r="1975">
          <cell r="U1975">
            <v>523710</v>
          </cell>
          <cell r="V1975">
            <v>0</v>
          </cell>
        </row>
        <row r="1976">
          <cell r="U1976">
            <v>282310</v>
          </cell>
          <cell r="V1976">
            <v>0</v>
          </cell>
        </row>
        <row r="1977">
          <cell r="U1977">
            <v>164590</v>
          </cell>
          <cell r="V1977">
            <v>0</v>
          </cell>
        </row>
        <row r="1978">
          <cell r="U1978">
            <v>397700</v>
          </cell>
          <cell r="V1978">
            <v>0</v>
          </cell>
        </row>
        <row r="1979">
          <cell r="U1979">
            <v>412140</v>
          </cell>
          <cell r="V1979">
            <v>0</v>
          </cell>
        </row>
        <row r="1980">
          <cell r="U1980">
            <v>257530</v>
          </cell>
          <cell r="V1980">
            <v>0</v>
          </cell>
        </row>
        <row r="1981">
          <cell r="D1981">
            <v>108</v>
          </cell>
          <cell r="U1981">
            <v>35020</v>
          </cell>
          <cell r="V1981">
            <v>3782160</v>
          </cell>
        </row>
        <row r="1983">
          <cell r="D1983">
            <v>4</v>
          </cell>
          <cell r="U1983">
            <v>6890</v>
          </cell>
          <cell r="V1983">
            <v>27560</v>
          </cell>
        </row>
        <row r="1984">
          <cell r="U1984">
            <v>3670</v>
          </cell>
          <cell r="V1984">
            <v>0</v>
          </cell>
        </row>
        <row r="1985">
          <cell r="D1985">
            <v>1</v>
          </cell>
          <cell r="U1985">
            <v>13830</v>
          </cell>
          <cell r="V1985">
            <v>13830</v>
          </cell>
        </row>
        <row r="1986">
          <cell r="U1986">
            <v>141790</v>
          </cell>
          <cell r="V1986">
            <v>0</v>
          </cell>
        </row>
        <row r="1987">
          <cell r="D1987">
            <v>1</v>
          </cell>
          <cell r="U1987">
            <v>778770</v>
          </cell>
          <cell r="V1987">
            <v>778770</v>
          </cell>
        </row>
      </sheetData>
      <sheetData sheetId="4">
        <row r="44">
          <cell r="C44">
            <v>0</v>
          </cell>
        </row>
      </sheetData>
      <sheetData sheetId="5">
        <row r="83">
          <cell r="C83">
            <v>0</v>
          </cell>
        </row>
      </sheetData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2014</v>
          </cell>
        </row>
        <row r="11">
          <cell r="B11" t="str">
            <v xml:space="preserve">DR. FRANCISCO MARTINEZ CAVALLA </v>
          </cell>
        </row>
        <row r="12">
          <cell r="A12" t="str">
            <v>Jefe de Estadisticas</v>
          </cell>
          <cell r="B12" t="str">
            <v>SRA. MARIA INES NUÑEZ GONZALEZ</v>
          </cell>
        </row>
      </sheetData>
      <sheetData sheetId="1"/>
      <sheetData sheetId="2">
        <row r="12">
          <cell r="D12">
            <v>61455</v>
          </cell>
        </row>
        <row r="13">
          <cell r="D13">
            <v>23894</v>
          </cell>
        </row>
        <row r="14">
          <cell r="D14">
            <v>25625</v>
          </cell>
        </row>
        <row r="15">
          <cell r="D15">
            <v>1281</v>
          </cell>
        </row>
        <row r="16">
          <cell r="D16">
            <v>0</v>
          </cell>
        </row>
        <row r="17">
          <cell r="D17">
            <v>1523</v>
          </cell>
        </row>
        <row r="18">
          <cell r="D18">
            <v>5947</v>
          </cell>
        </row>
        <row r="19">
          <cell r="D19">
            <v>4503</v>
          </cell>
        </row>
        <row r="20">
          <cell r="D20">
            <v>66</v>
          </cell>
        </row>
        <row r="21">
          <cell r="D21">
            <v>1378</v>
          </cell>
        </row>
        <row r="22">
          <cell r="D22">
            <v>0</v>
          </cell>
        </row>
        <row r="23">
          <cell r="D23">
            <v>99</v>
          </cell>
        </row>
        <row r="24">
          <cell r="D24">
            <v>3086</v>
          </cell>
        </row>
        <row r="25">
          <cell r="D25">
            <v>4480</v>
          </cell>
        </row>
        <row r="26">
          <cell r="D26">
            <v>2759</v>
          </cell>
        </row>
        <row r="27">
          <cell r="D27">
            <v>10</v>
          </cell>
        </row>
        <row r="28">
          <cell r="D28">
            <v>683</v>
          </cell>
        </row>
        <row r="30">
          <cell r="D30">
            <v>651</v>
          </cell>
        </row>
        <row r="31">
          <cell r="D31">
            <v>204</v>
          </cell>
        </row>
        <row r="32">
          <cell r="D32">
            <v>173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178</v>
          </cell>
          <cell r="G69">
            <v>0</v>
          </cell>
          <cell r="H69">
            <v>0</v>
          </cell>
        </row>
        <row r="70">
          <cell r="F70">
            <v>32</v>
          </cell>
          <cell r="G70">
            <v>1</v>
          </cell>
          <cell r="H70">
            <v>0</v>
          </cell>
        </row>
        <row r="71">
          <cell r="F71">
            <v>12</v>
          </cell>
          <cell r="G71">
            <v>0</v>
          </cell>
          <cell r="H71">
            <v>0</v>
          </cell>
        </row>
        <row r="72">
          <cell r="F72">
            <v>67</v>
          </cell>
          <cell r="G72">
            <v>0</v>
          </cell>
          <cell r="H72">
            <v>0</v>
          </cell>
        </row>
        <row r="73">
          <cell r="F73">
            <v>129</v>
          </cell>
          <cell r="G73">
            <v>1</v>
          </cell>
          <cell r="H73">
            <v>0</v>
          </cell>
        </row>
        <row r="74">
          <cell r="F74">
            <v>2</v>
          </cell>
          <cell r="G74">
            <v>1</v>
          </cell>
          <cell r="H74">
            <v>0</v>
          </cell>
        </row>
        <row r="75">
          <cell r="F75">
            <v>3</v>
          </cell>
          <cell r="G75">
            <v>0</v>
          </cell>
          <cell r="H75">
            <v>0</v>
          </cell>
        </row>
        <row r="76">
          <cell r="F76">
            <v>157</v>
          </cell>
          <cell r="G76">
            <v>19</v>
          </cell>
          <cell r="H76">
            <v>0</v>
          </cell>
        </row>
        <row r="77">
          <cell r="F77">
            <v>5</v>
          </cell>
          <cell r="G77">
            <v>0</v>
          </cell>
          <cell r="H77">
            <v>0</v>
          </cell>
        </row>
        <row r="78">
          <cell r="F78">
            <v>41</v>
          </cell>
          <cell r="G78">
            <v>5</v>
          </cell>
          <cell r="H78">
            <v>0</v>
          </cell>
        </row>
        <row r="79">
          <cell r="F79">
            <v>6</v>
          </cell>
          <cell r="G79">
            <v>2</v>
          </cell>
          <cell r="H79">
            <v>0</v>
          </cell>
        </row>
        <row r="80">
          <cell r="F80">
            <v>38</v>
          </cell>
          <cell r="G80">
            <v>9</v>
          </cell>
          <cell r="H80">
            <v>0</v>
          </cell>
        </row>
        <row r="81">
          <cell r="F81">
            <v>70</v>
          </cell>
          <cell r="G81">
            <v>0</v>
          </cell>
          <cell r="H81">
            <v>0</v>
          </cell>
        </row>
        <row r="82">
          <cell r="F82">
            <v>41</v>
          </cell>
          <cell r="G82">
            <v>1</v>
          </cell>
          <cell r="H82">
            <v>0</v>
          </cell>
        </row>
        <row r="130">
          <cell r="E130">
            <v>1031</v>
          </cell>
        </row>
      </sheetData>
      <sheetData sheetId="3">
        <row r="13">
          <cell r="U13">
            <v>4170</v>
          </cell>
          <cell r="V13">
            <v>0</v>
          </cell>
        </row>
        <row r="14">
          <cell r="U14">
            <v>5240</v>
          </cell>
          <cell r="V14">
            <v>0</v>
          </cell>
        </row>
        <row r="15">
          <cell r="D15">
            <v>6422</v>
          </cell>
          <cell r="U15">
            <v>11250</v>
          </cell>
          <cell r="V15">
            <v>72247500</v>
          </cell>
        </row>
        <row r="16">
          <cell r="U16">
            <v>6720</v>
          </cell>
          <cell r="V16">
            <v>0</v>
          </cell>
        </row>
        <row r="17">
          <cell r="U17">
            <v>7370</v>
          </cell>
          <cell r="V17">
            <v>0</v>
          </cell>
        </row>
        <row r="18">
          <cell r="U18">
            <v>14110</v>
          </cell>
          <cell r="V18">
            <v>0</v>
          </cell>
        </row>
        <row r="19">
          <cell r="D19">
            <v>58</v>
          </cell>
          <cell r="U19">
            <v>14110</v>
          </cell>
          <cell r="V19">
            <v>818380</v>
          </cell>
        </row>
        <row r="20">
          <cell r="U20">
            <v>5690</v>
          </cell>
          <cell r="V20">
            <v>0</v>
          </cell>
        </row>
        <row r="21">
          <cell r="U21">
            <v>6820</v>
          </cell>
          <cell r="V21">
            <v>0</v>
          </cell>
        </row>
        <row r="22">
          <cell r="U22">
            <v>8460</v>
          </cell>
          <cell r="V22">
            <v>0</v>
          </cell>
        </row>
        <row r="23">
          <cell r="D23">
            <v>2162</v>
          </cell>
          <cell r="U23">
            <v>5690</v>
          </cell>
          <cell r="V23">
            <v>12301780</v>
          </cell>
        </row>
        <row r="24">
          <cell r="D24">
            <v>1384</v>
          </cell>
          <cell r="U24">
            <v>6820</v>
          </cell>
          <cell r="V24">
            <v>9438880</v>
          </cell>
        </row>
        <row r="25">
          <cell r="D25">
            <v>2281</v>
          </cell>
          <cell r="U25">
            <v>8460</v>
          </cell>
          <cell r="V25">
            <v>19297260</v>
          </cell>
        </row>
        <row r="27">
          <cell r="D27">
            <v>1455</v>
          </cell>
          <cell r="U27">
            <v>1110</v>
          </cell>
          <cell r="V27">
            <v>1615050</v>
          </cell>
        </row>
        <row r="28">
          <cell r="U28">
            <v>1900</v>
          </cell>
          <cell r="V28">
            <v>0</v>
          </cell>
        </row>
        <row r="29">
          <cell r="U29">
            <v>610</v>
          </cell>
          <cell r="V29">
            <v>0</v>
          </cell>
        </row>
        <row r="30">
          <cell r="D30">
            <v>134</v>
          </cell>
          <cell r="U30">
            <v>1500</v>
          </cell>
          <cell r="V30">
            <v>201000</v>
          </cell>
        </row>
        <row r="31">
          <cell r="D31">
            <v>2462</v>
          </cell>
          <cell r="U31">
            <v>1210</v>
          </cell>
          <cell r="V31">
            <v>2979020</v>
          </cell>
        </row>
        <row r="32">
          <cell r="U32">
            <v>1110</v>
          </cell>
          <cell r="V32">
            <v>0</v>
          </cell>
        </row>
        <row r="34">
          <cell r="D34">
            <v>35</v>
          </cell>
          <cell r="U34">
            <v>3640</v>
          </cell>
          <cell r="V34">
            <v>127400</v>
          </cell>
        </row>
        <row r="35">
          <cell r="D35">
            <v>684</v>
          </cell>
          <cell r="U35">
            <v>2000</v>
          </cell>
          <cell r="V35">
            <v>1368000</v>
          </cell>
        </row>
        <row r="36">
          <cell r="U36">
            <v>2000</v>
          </cell>
          <cell r="V36">
            <v>0</v>
          </cell>
        </row>
        <row r="37">
          <cell r="D37">
            <v>871</v>
          </cell>
          <cell r="U37">
            <v>610</v>
          </cell>
          <cell r="V37">
            <v>531310</v>
          </cell>
        </row>
        <row r="39">
          <cell r="U39">
            <v>1730</v>
          </cell>
          <cell r="V39">
            <v>0</v>
          </cell>
        </row>
        <row r="40">
          <cell r="D40">
            <v>30</v>
          </cell>
          <cell r="U40">
            <v>1730</v>
          </cell>
          <cell r="V40">
            <v>51900</v>
          </cell>
        </row>
        <row r="41">
          <cell r="U41">
            <v>1000</v>
          </cell>
          <cell r="V41">
            <v>0</v>
          </cell>
        </row>
        <row r="43">
          <cell r="D43">
            <v>273</v>
          </cell>
          <cell r="U43">
            <v>760</v>
          </cell>
          <cell r="V43">
            <v>207480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1350</v>
          </cell>
          <cell r="V47">
            <v>0</v>
          </cell>
        </row>
        <row r="48">
          <cell r="D48">
            <v>355</v>
          </cell>
          <cell r="U48">
            <v>660</v>
          </cell>
          <cell r="V48">
            <v>234300</v>
          </cell>
        </row>
        <row r="49">
          <cell r="D49">
            <v>405</v>
          </cell>
          <cell r="U49">
            <v>2000</v>
          </cell>
          <cell r="V49">
            <v>810000</v>
          </cell>
        </row>
        <row r="50">
          <cell r="D50">
            <v>53</v>
          </cell>
          <cell r="U50">
            <v>15030</v>
          </cell>
          <cell r="V50">
            <v>796590</v>
          </cell>
        </row>
        <row r="51">
          <cell r="D51">
            <v>92</v>
          </cell>
          <cell r="U51">
            <v>34510</v>
          </cell>
          <cell r="V51">
            <v>3174920</v>
          </cell>
        </row>
        <row r="52">
          <cell r="D52">
            <v>18</v>
          </cell>
          <cell r="V52">
            <v>154980</v>
          </cell>
        </row>
        <row r="59">
          <cell r="D59">
            <v>5233</v>
          </cell>
          <cell r="U59">
            <v>33020</v>
          </cell>
          <cell r="V59">
            <v>172793660</v>
          </cell>
        </row>
        <row r="60">
          <cell r="U60">
            <v>30400</v>
          </cell>
          <cell r="V60">
            <v>0</v>
          </cell>
        </row>
        <row r="61">
          <cell r="U61">
            <v>25340</v>
          </cell>
          <cell r="V61">
            <v>0</v>
          </cell>
        </row>
        <row r="62">
          <cell r="D62">
            <v>291</v>
          </cell>
          <cell r="U62">
            <v>137290</v>
          </cell>
          <cell r="V62">
            <v>39951390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117</v>
          </cell>
          <cell r="U65">
            <v>66300</v>
          </cell>
          <cell r="V65">
            <v>7757100</v>
          </cell>
        </row>
        <row r="66">
          <cell r="D66">
            <v>136</v>
          </cell>
          <cell r="V66">
            <v>9016800</v>
          </cell>
        </row>
        <row r="67">
          <cell r="V67">
            <v>0</v>
          </cell>
        </row>
        <row r="68">
          <cell r="D68">
            <v>243</v>
          </cell>
          <cell r="U68">
            <v>59490</v>
          </cell>
          <cell r="V68">
            <v>14456070</v>
          </cell>
        </row>
        <row r="69">
          <cell r="U69">
            <v>16880</v>
          </cell>
          <cell r="V69">
            <v>0</v>
          </cell>
        </row>
        <row r="70">
          <cell r="U70">
            <v>26450</v>
          </cell>
          <cell r="V70">
            <v>0</v>
          </cell>
        </row>
        <row r="71">
          <cell r="U71">
            <v>27530</v>
          </cell>
          <cell r="V71">
            <v>0</v>
          </cell>
        </row>
        <row r="72">
          <cell r="U72">
            <v>11100</v>
          </cell>
          <cell r="V72">
            <v>0</v>
          </cell>
        </row>
        <row r="73">
          <cell r="U73">
            <v>26670</v>
          </cell>
          <cell r="V73">
            <v>0</v>
          </cell>
        </row>
        <row r="74">
          <cell r="U74">
            <v>11100</v>
          </cell>
          <cell r="V74">
            <v>0</v>
          </cell>
        </row>
        <row r="75">
          <cell r="U75">
            <v>4890</v>
          </cell>
          <cell r="V75">
            <v>0</v>
          </cell>
        </row>
        <row r="76">
          <cell r="U76">
            <v>33020</v>
          </cell>
          <cell r="V76">
            <v>0</v>
          </cell>
        </row>
        <row r="77">
          <cell r="U77">
            <v>89270</v>
          </cell>
          <cell r="V77">
            <v>0</v>
          </cell>
        </row>
        <row r="78">
          <cell r="U78">
            <v>10540</v>
          </cell>
          <cell r="V78">
            <v>0</v>
          </cell>
        </row>
        <row r="79">
          <cell r="D79">
            <v>29</v>
          </cell>
          <cell r="U79">
            <v>6410</v>
          </cell>
          <cell r="V79">
            <v>185890</v>
          </cell>
        </row>
        <row r="80">
          <cell r="U80">
            <v>46280</v>
          </cell>
          <cell r="V80">
            <v>0</v>
          </cell>
        </row>
        <row r="81">
          <cell r="U81">
            <v>8120</v>
          </cell>
          <cell r="V81">
            <v>0</v>
          </cell>
        </row>
        <row r="83">
          <cell r="V83">
            <v>24590200</v>
          </cell>
        </row>
        <row r="174">
          <cell r="V174">
            <v>30941610</v>
          </cell>
        </row>
        <row r="243">
          <cell r="V243">
            <v>4488510</v>
          </cell>
        </row>
        <row r="289">
          <cell r="V289">
            <v>0</v>
          </cell>
        </row>
        <row r="295">
          <cell r="V295">
            <v>7131710</v>
          </cell>
        </row>
        <row r="362">
          <cell r="V362">
            <v>10308790</v>
          </cell>
        </row>
        <row r="405">
          <cell r="V405">
            <v>181920</v>
          </cell>
        </row>
        <row r="428">
          <cell r="V428">
            <v>5499920</v>
          </cell>
        </row>
        <row r="446">
          <cell r="V446">
            <v>0</v>
          </cell>
        </row>
        <row r="456">
          <cell r="V456">
            <v>198870</v>
          </cell>
        </row>
        <row r="500">
          <cell r="V500">
            <v>3872160</v>
          </cell>
        </row>
        <row r="535">
          <cell r="V535">
            <v>21909340</v>
          </cell>
        </row>
        <row r="590">
          <cell r="V590">
            <v>192240</v>
          </cell>
        </row>
        <row r="615">
          <cell r="V615">
            <v>34470890</v>
          </cell>
        </row>
        <row r="633">
          <cell r="V633">
            <v>13334530</v>
          </cell>
        </row>
        <row r="634">
          <cell r="V634">
            <v>1038360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478</v>
          </cell>
          <cell r="V768">
            <v>3093100</v>
          </cell>
        </row>
        <row r="783">
          <cell r="V783">
            <v>0</v>
          </cell>
        </row>
        <row r="795">
          <cell r="D795">
            <v>191</v>
          </cell>
          <cell r="U795">
            <v>6900</v>
          </cell>
          <cell r="V795">
            <v>1317900</v>
          </cell>
        </row>
        <row r="796">
          <cell r="D796">
            <v>370</v>
          </cell>
          <cell r="U796">
            <v>2700</v>
          </cell>
          <cell r="V796">
            <v>999000</v>
          </cell>
        </row>
        <row r="797">
          <cell r="D797">
            <v>411</v>
          </cell>
          <cell r="U797">
            <v>2700</v>
          </cell>
          <cell r="V797">
            <v>1109700</v>
          </cell>
        </row>
        <row r="798">
          <cell r="D798">
            <v>4</v>
          </cell>
          <cell r="U798">
            <v>10760</v>
          </cell>
          <cell r="V798">
            <v>43040</v>
          </cell>
        </row>
        <row r="799">
          <cell r="D799">
            <v>44</v>
          </cell>
          <cell r="U799">
            <v>12600</v>
          </cell>
          <cell r="V799">
            <v>554400</v>
          </cell>
        </row>
        <row r="800">
          <cell r="U800">
            <v>28580</v>
          </cell>
          <cell r="V800">
            <v>0</v>
          </cell>
        </row>
        <row r="801">
          <cell r="U801">
            <v>3550</v>
          </cell>
          <cell r="V801">
            <v>0</v>
          </cell>
        </row>
        <row r="802">
          <cell r="U802">
            <v>9180</v>
          </cell>
          <cell r="V802">
            <v>0</v>
          </cell>
        </row>
        <row r="805">
          <cell r="D805">
            <v>17</v>
          </cell>
          <cell r="U805">
            <v>14260</v>
          </cell>
          <cell r="V805">
            <v>242420</v>
          </cell>
        </row>
        <row r="806">
          <cell r="U806">
            <v>11400</v>
          </cell>
          <cell r="V806">
            <v>0</v>
          </cell>
        </row>
        <row r="807">
          <cell r="U807">
            <v>386950</v>
          </cell>
          <cell r="V807">
            <v>0</v>
          </cell>
        </row>
        <row r="811">
          <cell r="V811">
            <v>0</v>
          </cell>
        </row>
        <row r="882">
          <cell r="V882">
            <v>57332130</v>
          </cell>
        </row>
        <row r="961">
          <cell r="V961">
            <v>2987455</v>
          </cell>
        </row>
        <row r="1036">
          <cell r="D1036">
            <v>1</v>
          </cell>
          <cell r="U1036">
            <v>9120</v>
          </cell>
          <cell r="V1036">
            <v>9120</v>
          </cell>
        </row>
        <row r="1037">
          <cell r="V1037">
            <v>737310</v>
          </cell>
        </row>
        <row r="1098">
          <cell r="V1098">
            <v>3595770</v>
          </cell>
        </row>
        <row r="1166">
          <cell r="V1166">
            <v>2886370</v>
          </cell>
        </row>
        <row r="1197">
          <cell r="D1197">
            <v>625</v>
          </cell>
          <cell r="U1197">
            <v>4880</v>
          </cell>
          <cell r="V1197">
            <v>3050000</v>
          </cell>
        </row>
        <row r="1198">
          <cell r="D1198">
            <v>9</v>
          </cell>
          <cell r="U1198">
            <v>13770</v>
          </cell>
          <cell r="V1198">
            <v>123930</v>
          </cell>
        </row>
        <row r="1199">
          <cell r="D1199">
            <v>39</v>
          </cell>
          <cell r="U1199">
            <v>23350</v>
          </cell>
          <cell r="V1199">
            <v>910650</v>
          </cell>
        </row>
        <row r="1200">
          <cell r="U1200">
            <v>44580</v>
          </cell>
          <cell r="V1200">
            <v>0</v>
          </cell>
        </row>
        <row r="1201">
          <cell r="D1201">
            <v>150</v>
          </cell>
          <cell r="U1201">
            <v>49690</v>
          </cell>
          <cell r="V1201">
            <v>7453500</v>
          </cell>
        </row>
        <row r="1202">
          <cell r="U1202">
            <v>27870</v>
          </cell>
          <cell r="V1202">
            <v>0</v>
          </cell>
        </row>
        <row r="1203">
          <cell r="U1203">
            <v>215630</v>
          </cell>
          <cell r="V1203">
            <v>0</v>
          </cell>
        </row>
        <row r="1204">
          <cell r="U1204">
            <v>245140</v>
          </cell>
          <cell r="V1204">
            <v>0</v>
          </cell>
        </row>
        <row r="1205">
          <cell r="U1205">
            <v>199900</v>
          </cell>
          <cell r="V1205">
            <v>0</v>
          </cell>
        </row>
        <row r="1206">
          <cell r="U1206">
            <v>256770</v>
          </cell>
          <cell r="V1206">
            <v>0</v>
          </cell>
        </row>
        <row r="1207">
          <cell r="U1207">
            <v>262730</v>
          </cell>
          <cell r="V1207">
            <v>0</v>
          </cell>
        </row>
        <row r="1208">
          <cell r="U1208">
            <v>222180</v>
          </cell>
          <cell r="V1208">
            <v>0</v>
          </cell>
        </row>
        <row r="1209">
          <cell r="U1209">
            <v>237160</v>
          </cell>
          <cell r="V1209">
            <v>0</v>
          </cell>
        </row>
        <row r="1210">
          <cell r="U1210">
            <v>283580</v>
          </cell>
          <cell r="V1210">
            <v>0</v>
          </cell>
        </row>
        <row r="1211">
          <cell r="U1211">
            <v>251470</v>
          </cell>
          <cell r="V1211">
            <v>0</v>
          </cell>
        </row>
        <row r="1212">
          <cell r="U1212">
            <v>1840310</v>
          </cell>
          <cell r="V1212">
            <v>0</v>
          </cell>
        </row>
        <row r="1213">
          <cell r="U1213">
            <v>1149460</v>
          </cell>
          <cell r="V1213">
            <v>0</v>
          </cell>
        </row>
        <row r="1214">
          <cell r="U1214">
            <v>1112540</v>
          </cell>
          <cell r="V1214">
            <v>0</v>
          </cell>
        </row>
        <row r="1215">
          <cell r="U1215">
            <v>1165530</v>
          </cell>
          <cell r="V1215">
            <v>0</v>
          </cell>
        </row>
        <row r="1216">
          <cell r="U1216">
            <v>164930</v>
          </cell>
          <cell r="V1216">
            <v>0</v>
          </cell>
        </row>
        <row r="1217">
          <cell r="U1217">
            <v>376370</v>
          </cell>
          <cell r="V1217">
            <v>0</v>
          </cell>
        </row>
        <row r="1218">
          <cell r="U1218">
            <v>139530</v>
          </cell>
          <cell r="V1218">
            <v>0</v>
          </cell>
        </row>
        <row r="1219">
          <cell r="U1219">
            <v>1130520</v>
          </cell>
          <cell r="V1219">
            <v>0</v>
          </cell>
        </row>
        <row r="1220">
          <cell r="U1220">
            <v>1130520</v>
          </cell>
          <cell r="V1220">
            <v>0</v>
          </cell>
        </row>
        <row r="1221">
          <cell r="V1221">
            <v>324535</v>
          </cell>
        </row>
        <row r="1287">
          <cell r="V1287">
            <v>326200</v>
          </cell>
        </row>
        <row r="1354">
          <cell r="D1354">
            <v>79</v>
          </cell>
          <cell r="U1354">
            <v>33720</v>
          </cell>
          <cell r="V1354">
            <v>2663880</v>
          </cell>
        </row>
        <row r="1355">
          <cell r="U1355">
            <v>40670</v>
          </cell>
          <cell r="V1355">
            <v>0</v>
          </cell>
        </row>
        <row r="1356">
          <cell r="D1356">
            <v>10</v>
          </cell>
          <cell r="U1356">
            <v>43320</v>
          </cell>
          <cell r="V1356">
            <v>433200</v>
          </cell>
        </row>
        <row r="1357">
          <cell r="V1357">
            <v>38878030</v>
          </cell>
        </row>
        <row r="1441">
          <cell r="V1441">
            <v>340090</v>
          </cell>
        </row>
        <row r="1481">
          <cell r="U1481">
            <v>41580</v>
          </cell>
          <cell r="V1481">
            <v>0</v>
          </cell>
        </row>
        <row r="1482">
          <cell r="U1482">
            <v>26150</v>
          </cell>
          <cell r="V1482">
            <v>0</v>
          </cell>
        </row>
        <row r="1483">
          <cell r="U1483">
            <v>26930</v>
          </cell>
          <cell r="V1483">
            <v>0</v>
          </cell>
        </row>
        <row r="1484">
          <cell r="U1484">
            <v>808040</v>
          </cell>
          <cell r="V1484">
            <v>0</v>
          </cell>
        </row>
        <row r="1485">
          <cell r="U1485">
            <v>367020</v>
          </cell>
          <cell r="V1485">
            <v>0</v>
          </cell>
        </row>
        <row r="1486">
          <cell r="U1486">
            <v>561210</v>
          </cell>
          <cell r="V1486">
            <v>0</v>
          </cell>
        </row>
        <row r="1487">
          <cell r="U1487">
            <v>50600</v>
          </cell>
          <cell r="V1487">
            <v>0</v>
          </cell>
        </row>
        <row r="1488">
          <cell r="U1488">
            <v>657830</v>
          </cell>
          <cell r="V1488">
            <v>0</v>
          </cell>
        </row>
        <row r="1489">
          <cell r="V1489">
            <v>8231060</v>
          </cell>
        </row>
        <row r="1574">
          <cell r="V1574">
            <v>9544090</v>
          </cell>
        </row>
        <row r="1592">
          <cell r="V1592">
            <v>1887010</v>
          </cell>
        </row>
        <row r="1597">
          <cell r="V1597">
            <v>6757960</v>
          </cell>
        </row>
        <row r="1631">
          <cell r="V1631">
            <v>8050620</v>
          </cell>
        </row>
        <row r="1632">
          <cell r="V1632">
            <v>0</v>
          </cell>
        </row>
        <row r="1633">
          <cell r="D1633">
            <v>31</v>
          </cell>
          <cell r="V1633">
            <v>3021570</v>
          </cell>
        </row>
        <row r="1634">
          <cell r="D1634">
            <v>39</v>
          </cell>
          <cell r="V1634">
            <v>5029050</v>
          </cell>
        </row>
        <row r="1635">
          <cell r="V1635">
            <v>0</v>
          </cell>
        </row>
        <row r="1636">
          <cell r="D1636">
            <v>83</v>
          </cell>
          <cell r="U1636">
            <v>128940</v>
          </cell>
          <cell r="V1636">
            <v>10702020</v>
          </cell>
        </row>
        <row r="1637">
          <cell r="D1637">
            <v>6</v>
          </cell>
          <cell r="U1637">
            <v>135670</v>
          </cell>
          <cell r="V1637">
            <v>814020</v>
          </cell>
        </row>
        <row r="1639">
          <cell r="V1639">
            <v>8864520</v>
          </cell>
        </row>
        <row r="1845">
          <cell r="D1845">
            <v>5</v>
          </cell>
          <cell r="F1845">
            <v>0</v>
          </cell>
          <cell r="G1845">
            <v>0</v>
          </cell>
          <cell r="V1845">
            <v>269650</v>
          </cell>
        </row>
        <row r="1849">
          <cell r="D1849">
            <v>24</v>
          </cell>
          <cell r="V1849">
            <v>1546900</v>
          </cell>
        </row>
        <row r="1861">
          <cell r="D1861">
            <v>38</v>
          </cell>
          <cell r="U1861">
            <v>27970</v>
          </cell>
          <cell r="V1861">
            <v>1062860</v>
          </cell>
        </row>
        <row r="1863">
          <cell r="D1863">
            <v>212</v>
          </cell>
          <cell r="U1863">
            <v>18430</v>
          </cell>
          <cell r="V1863">
            <v>3907160</v>
          </cell>
        </row>
        <row r="1864">
          <cell r="D1864">
            <v>188</v>
          </cell>
          <cell r="U1864">
            <v>57970</v>
          </cell>
          <cell r="V1864">
            <v>10898360</v>
          </cell>
        </row>
        <row r="1865">
          <cell r="U1865">
            <v>71860</v>
          </cell>
          <cell r="V1865">
            <v>0</v>
          </cell>
        </row>
        <row r="1866">
          <cell r="D1866">
            <v>174</v>
          </cell>
          <cell r="U1866">
            <v>2520</v>
          </cell>
          <cell r="V1866">
            <v>438480</v>
          </cell>
        </row>
        <row r="1867">
          <cell r="U1867">
            <v>70</v>
          </cell>
          <cell r="V1867">
            <v>0</v>
          </cell>
        </row>
        <row r="1868">
          <cell r="U1868">
            <v>152560</v>
          </cell>
          <cell r="V1868">
            <v>0</v>
          </cell>
        </row>
        <row r="1869">
          <cell r="U1869">
            <v>10370</v>
          </cell>
          <cell r="V1869">
            <v>0</v>
          </cell>
        </row>
        <row r="1871">
          <cell r="V1871">
            <v>4981250</v>
          </cell>
        </row>
        <row r="1889">
          <cell r="V1889">
            <v>6782070</v>
          </cell>
        </row>
        <row r="1914">
          <cell r="V1914">
            <v>3545890</v>
          </cell>
        </row>
        <row r="1941">
          <cell r="D1941">
            <v>322</v>
          </cell>
          <cell r="U1941">
            <v>19310</v>
          </cell>
          <cell r="V1941">
            <v>6217820</v>
          </cell>
        </row>
        <row r="1942">
          <cell r="U1942">
            <v>242060</v>
          </cell>
          <cell r="V1942">
            <v>0</v>
          </cell>
        </row>
        <row r="1944">
          <cell r="U1944">
            <v>247230</v>
          </cell>
          <cell r="V1944">
            <v>0</v>
          </cell>
        </row>
        <row r="1945">
          <cell r="U1945">
            <v>35130</v>
          </cell>
          <cell r="V1945">
            <v>0</v>
          </cell>
        </row>
        <row r="1946">
          <cell r="U1946">
            <v>132520</v>
          </cell>
          <cell r="V1946">
            <v>0</v>
          </cell>
        </row>
        <row r="1947">
          <cell r="U1947">
            <v>132520</v>
          </cell>
          <cell r="V1947">
            <v>0</v>
          </cell>
        </row>
        <row r="1948">
          <cell r="U1948">
            <v>241260</v>
          </cell>
          <cell r="V1948">
            <v>0</v>
          </cell>
        </row>
        <row r="1949">
          <cell r="U1949">
            <v>370240</v>
          </cell>
          <cell r="V1949">
            <v>0</v>
          </cell>
        </row>
        <row r="1950">
          <cell r="U1950">
            <v>631610</v>
          </cell>
          <cell r="V1950">
            <v>0</v>
          </cell>
        </row>
        <row r="1951">
          <cell r="U1951">
            <v>131550</v>
          </cell>
          <cell r="V1951">
            <v>0</v>
          </cell>
        </row>
        <row r="1952">
          <cell r="U1952">
            <v>354560</v>
          </cell>
          <cell r="V1952">
            <v>0</v>
          </cell>
        </row>
        <row r="1953">
          <cell r="U1953">
            <v>149290</v>
          </cell>
          <cell r="V1953">
            <v>0</v>
          </cell>
        </row>
        <row r="1954">
          <cell r="U1954">
            <v>129730</v>
          </cell>
          <cell r="V1954">
            <v>0</v>
          </cell>
        </row>
        <row r="1955">
          <cell r="U1955">
            <v>197230</v>
          </cell>
          <cell r="V1955">
            <v>0</v>
          </cell>
        </row>
        <row r="1956">
          <cell r="U1956">
            <v>51900</v>
          </cell>
          <cell r="V1956">
            <v>0</v>
          </cell>
        </row>
        <row r="1957">
          <cell r="U1957">
            <v>38790</v>
          </cell>
          <cell r="V1957">
            <v>0</v>
          </cell>
        </row>
        <row r="1958">
          <cell r="U1958">
            <v>212700</v>
          </cell>
          <cell r="V1958">
            <v>0</v>
          </cell>
        </row>
        <row r="1959">
          <cell r="U1959">
            <v>1265290</v>
          </cell>
          <cell r="V1959">
            <v>0</v>
          </cell>
        </row>
        <row r="1960">
          <cell r="U1960">
            <v>190900</v>
          </cell>
          <cell r="V1960">
            <v>0</v>
          </cell>
        </row>
        <row r="1961">
          <cell r="U1961">
            <v>168820</v>
          </cell>
          <cell r="V1961">
            <v>0</v>
          </cell>
        </row>
        <row r="1962">
          <cell r="U1962">
            <v>342700</v>
          </cell>
          <cell r="V1962">
            <v>0</v>
          </cell>
        </row>
        <row r="1963">
          <cell r="U1963">
            <v>1139590</v>
          </cell>
          <cell r="V1963">
            <v>0</v>
          </cell>
        </row>
        <row r="1964">
          <cell r="U1964">
            <v>1171120</v>
          </cell>
          <cell r="V1964">
            <v>0</v>
          </cell>
        </row>
        <row r="1965">
          <cell r="U1965">
            <v>927270</v>
          </cell>
          <cell r="V1965">
            <v>0</v>
          </cell>
        </row>
        <row r="1966">
          <cell r="U1966">
            <v>977250</v>
          </cell>
          <cell r="V1966">
            <v>0</v>
          </cell>
        </row>
        <row r="1967">
          <cell r="U1967">
            <v>385520</v>
          </cell>
          <cell r="V1967">
            <v>0</v>
          </cell>
        </row>
        <row r="1968">
          <cell r="U1968">
            <v>92330</v>
          </cell>
          <cell r="V1968">
            <v>0</v>
          </cell>
        </row>
        <row r="1969">
          <cell r="U1969">
            <v>275450</v>
          </cell>
          <cell r="V1969">
            <v>0</v>
          </cell>
        </row>
        <row r="1970">
          <cell r="U1970">
            <v>77880</v>
          </cell>
          <cell r="V1970">
            <v>0</v>
          </cell>
        </row>
        <row r="1971">
          <cell r="U1971">
            <v>1338250</v>
          </cell>
          <cell r="V1971">
            <v>0</v>
          </cell>
        </row>
        <row r="1972">
          <cell r="U1972">
            <v>312910</v>
          </cell>
          <cell r="V1972">
            <v>0</v>
          </cell>
        </row>
        <row r="1973">
          <cell r="U1973">
            <v>1048270</v>
          </cell>
          <cell r="V1973">
            <v>0</v>
          </cell>
        </row>
        <row r="1974">
          <cell r="U1974">
            <v>641750</v>
          </cell>
          <cell r="V1974">
            <v>0</v>
          </cell>
        </row>
        <row r="1975">
          <cell r="U1975">
            <v>523710</v>
          </cell>
          <cell r="V1975">
            <v>0</v>
          </cell>
        </row>
        <row r="1976">
          <cell r="U1976">
            <v>282310</v>
          </cell>
          <cell r="V1976">
            <v>0</v>
          </cell>
        </row>
        <row r="1977">
          <cell r="U1977">
            <v>164590</v>
          </cell>
          <cell r="V1977">
            <v>0</v>
          </cell>
        </row>
        <row r="1978">
          <cell r="U1978">
            <v>397700</v>
          </cell>
          <cell r="V1978">
            <v>0</v>
          </cell>
        </row>
        <row r="1979">
          <cell r="U1979">
            <v>412140</v>
          </cell>
          <cell r="V1979">
            <v>0</v>
          </cell>
        </row>
        <row r="1980">
          <cell r="U1980">
            <v>257530</v>
          </cell>
          <cell r="V1980">
            <v>0</v>
          </cell>
        </row>
        <row r="1981">
          <cell r="D1981">
            <v>112</v>
          </cell>
          <cell r="U1981">
            <v>35020</v>
          </cell>
          <cell r="V1981">
            <v>3922240</v>
          </cell>
        </row>
        <row r="1983">
          <cell r="D1983">
            <v>7</v>
          </cell>
          <cell r="U1983">
            <v>6890</v>
          </cell>
          <cell r="V1983">
            <v>48230</v>
          </cell>
        </row>
        <row r="1984">
          <cell r="U1984">
            <v>3670</v>
          </cell>
          <cell r="V1984">
            <v>0</v>
          </cell>
        </row>
        <row r="1985">
          <cell r="D1985">
            <v>1</v>
          </cell>
          <cell r="U1985">
            <v>13830</v>
          </cell>
          <cell r="V1985">
            <v>13830</v>
          </cell>
        </row>
        <row r="1986">
          <cell r="U1986">
            <v>141790</v>
          </cell>
          <cell r="V1986">
            <v>0</v>
          </cell>
        </row>
        <row r="1987">
          <cell r="D1987">
            <v>1</v>
          </cell>
          <cell r="U1987">
            <v>778770</v>
          </cell>
          <cell r="V1987">
            <v>778770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2014</v>
          </cell>
        </row>
        <row r="11">
          <cell r="B11" t="str">
            <v>DR. FRANCISCO MARTINEZ CAVALLA</v>
          </cell>
        </row>
        <row r="12">
          <cell r="A12" t="str">
            <v>Jefe de Estadisticas</v>
          </cell>
          <cell r="B12" t="str">
            <v>SRA. MARIA INES NUÑEZ GONZALEZ</v>
          </cell>
        </row>
      </sheetData>
      <sheetData sheetId="1"/>
      <sheetData sheetId="2">
        <row r="12">
          <cell r="D12">
            <v>63892</v>
          </cell>
        </row>
        <row r="13">
          <cell r="D13">
            <v>24855</v>
          </cell>
        </row>
        <row r="14">
          <cell r="D14">
            <v>26260</v>
          </cell>
        </row>
        <row r="15">
          <cell r="D15">
            <v>1281</v>
          </cell>
        </row>
        <row r="16">
          <cell r="D16">
            <v>0</v>
          </cell>
        </row>
        <row r="17">
          <cell r="D17">
            <v>1668</v>
          </cell>
        </row>
        <row r="18">
          <cell r="D18">
            <v>6663</v>
          </cell>
        </row>
        <row r="19">
          <cell r="D19">
            <v>4562</v>
          </cell>
        </row>
        <row r="20">
          <cell r="D20">
            <v>70</v>
          </cell>
        </row>
        <row r="21">
          <cell r="D21">
            <v>2031</v>
          </cell>
        </row>
        <row r="22">
          <cell r="D22">
            <v>0</v>
          </cell>
        </row>
        <row r="23">
          <cell r="D23">
            <v>73</v>
          </cell>
        </row>
        <row r="24">
          <cell r="D24">
            <v>3092</v>
          </cell>
        </row>
        <row r="25">
          <cell r="D25">
            <v>4476</v>
          </cell>
        </row>
        <row r="26">
          <cell r="D26">
            <v>2788</v>
          </cell>
        </row>
        <row r="27">
          <cell r="D27">
            <v>10</v>
          </cell>
        </row>
        <row r="28">
          <cell r="D28">
            <v>690</v>
          </cell>
        </row>
        <row r="30">
          <cell r="D30">
            <v>599</v>
          </cell>
        </row>
        <row r="31">
          <cell r="D31">
            <v>218</v>
          </cell>
        </row>
        <row r="32">
          <cell r="D32">
            <v>171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183</v>
          </cell>
          <cell r="G69">
            <v>0</v>
          </cell>
          <cell r="H69">
            <v>0</v>
          </cell>
        </row>
        <row r="70">
          <cell r="F70">
            <v>31</v>
          </cell>
          <cell r="G70">
            <v>7</v>
          </cell>
          <cell r="H70">
            <v>0</v>
          </cell>
        </row>
        <row r="71">
          <cell r="F71">
            <v>6</v>
          </cell>
          <cell r="G71">
            <v>0</v>
          </cell>
          <cell r="H71">
            <v>0</v>
          </cell>
        </row>
        <row r="72">
          <cell r="F72">
            <v>78</v>
          </cell>
          <cell r="G72">
            <v>0</v>
          </cell>
          <cell r="H72">
            <v>0</v>
          </cell>
        </row>
        <row r="73">
          <cell r="F73">
            <v>79</v>
          </cell>
          <cell r="G73">
            <v>2</v>
          </cell>
          <cell r="H73">
            <v>0</v>
          </cell>
        </row>
        <row r="74">
          <cell r="F74">
            <v>3</v>
          </cell>
          <cell r="G74">
            <v>0</v>
          </cell>
          <cell r="H74">
            <v>0</v>
          </cell>
        </row>
        <row r="75">
          <cell r="F75">
            <v>3</v>
          </cell>
          <cell r="G75">
            <v>0</v>
          </cell>
          <cell r="H75">
            <v>0</v>
          </cell>
        </row>
        <row r="76">
          <cell r="F76">
            <v>129</v>
          </cell>
          <cell r="G76">
            <v>13</v>
          </cell>
          <cell r="H76">
            <v>0</v>
          </cell>
        </row>
        <row r="77">
          <cell r="F77">
            <v>9</v>
          </cell>
          <cell r="G77">
            <v>1</v>
          </cell>
          <cell r="H77">
            <v>0</v>
          </cell>
        </row>
        <row r="78">
          <cell r="F78">
            <v>33</v>
          </cell>
          <cell r="G78">
            <v>0</v>
          </cell>
          <cell r="H78">
            <v>0</v>
          </cell>
        </row>
        <row r="79">
          <cell r="F79">
            <v>6</v>
          </cell>
          <cell r="G79">
            <v>1</v>
          </cell>
          <cell r="H79">
            <v>0</v>
          </cell>
        </row>
        <row r="80">
          <cell r="F80">
            <v>54</v>
          </cell>
          <cell r="G80">
            <v>6</v>
          </cell>
          <cell r="H80">
            <v>0</v>
          </cell>
        </row>
        <row r="81">
          <cell r="F81">
            <v>54</v>
          </cell>
          <cell r="G81">
            <v>3</v>
          </cell>
          <cell r="H81">
            <v>0</v>
          </cell>
        </row>
        <row r="82">
          <cell r="F82">
            <v>66</v>
          </cell>
          <cell r="G82">
            <v>0</v>
          </cell>
          <cell r="H82">
            <v>0</v>
          </cell>
        </row>
        <row r="130">
          <cell r="E130">
            <v>1072</v>
          </cell>
        </row>
      </sheetData>
      <sheetData sheetId="3">
        <row r="13">
          <cell r="U13">
            <v>4170</v>
          </cell>
          <cell r="V13">
            <v>0</v>
          </cell>
        </row>
        <row r="14">
          <cell r="U14">
            <v>5240</v>
          </cell>
          <cell r="V14">
            <v>0</v>
          </cell>
        </row>
        <row r="15">
          <cell r="D15">
            <v>6415</v>
          </cell>
          <cell r="U15">
            <v>11250</v>
          </cell>
          <cell r="V15">
            <v>72168750</v>
          </cell>
        </row>
        <row r="16">
          <cell r="U16">
            <v>6720</v>
          </cell>
          <cell r="V16">
            <v>0</v>
          </cell>
        </row>
        <row r="17">
          <cell r="U17">
            <v>7370</v>
          </cell>
          <cell r="V17">
            <v>0</v>
          </cell>
        </row>
        <row r="18">
          <cell r="U18">
            <v>14110</v>
          </cell>
          <cell r="V18">
            <v>0</v>
          </cell>
        </row>
        <row r="19">
          <cell r="D19">
            <v>53</v>
          </cell>
          <cell r="U19">
            <v>14110</v>
          </cell>
          <cell r="V19">
            <v>747830</v>
          </cell>
        </row>
        <row r="20">
          <cell r="U20">
            <v>5690</v>
          </cell>
          <cell r="V20">
            <v>0</v>
          </cell>
        </row>
        <row r="21">
          <cell r="U21">
            <v>6820</v>
          </cell>
          <cell r="V21">
            <v>0</v>
          </cell>
        </row>
        <row r="22">
          <cell r="U22">
            <v>8460</v>
          </cell>
          <cell r="V22">
            <v>0</v>
          </cell>
        </row>
        <row r="23">
          <cell r="D23">
            <v>2415</v>
          </cell>
          <cell r="U23">
            <v>5690</v>
          </cell>
          <cell r="V23">
            <v>13741350</v>
          </cell>
        </row>
        <row r="24">
          <cell r="D24">
            <v>1334</v>
          </cell>
          <cell r="U24">
            <v>6820</v>
          </cell>
          <cell r="V24">
            <v>9097880</v>
          </cell>
        </row>
        <row r="25">
          <cell r="D25">
            <v>2431</v>
          </cell>
          <cell r="U25">
            <v>8460</v>
          </cell>
          <cell r="V25">
            <v>20566260</v>
          </cell>
        </row>
        <row r="27">
          <cell r="D27">
            <v>1884</v>
          </cell>
          <cell r="U27">
            <v>1110</v>
          </cell>
          <cell r="V27">
            <v>2091240</v>
          </cell>
        </row>
        <row r="28">
          <cell r="U28">
            <v>1900</v>
          </cell>
          <cell r="V28">
            <v>0</v>
          </cell>
        </row>
        <row r="29">
          <cell r="U29">
            <v>610</v>
          </cell>
          <cell r="V29">
            <v>0</v>
          </cell>
        </row>
        <row r="30">
          <cell r="D30">
            <v>128</v>
          </cell>
          <cell r="U30">
            <v>1500</v>
          </cell>
          <cell r="V30">
            <v>192000</v>
          </cell>
        </row>
        <row r="31">
          <cell r="D31">
            <v>750</v>
          </cell>
          <cell r="U31">
            <v>1210</v>
          </cell>
          <cell r="V31">
            <v>907500</v>
          </cell>
        </row>
        <row r="32">
          <cell r="U32">
            <v>1110</v>
          </cell>
          <cell r="V32">
            <v>0</v>
          </cell>
        </row>
        <row r="34">
          <cell r="D34">
            <v>34</v>
          </cell>
          <cell r="U34">
            <v>3640</v>
          </cell>
          <cell r="V34">
            <v>123760</v>
          </cell>
        </row>
        <row r="35">
          <cell r="D35">
            <v>689</v>
          </cell>
          <cell r="U35">
            <v>2000</v>
          </cell>
          <cell r="V35">
            <v>1378000</v>
          </cell>
        </row>
        <row r="36">
          <cell r="U36">
            <v>2000</v>
          </cell>
          <cell r="V36">
            <v>0</v>
          </cell>
        </row>
        <row r="37">
          <cell r="D37">
            <v>679</v>
          </cell>
          <cell r="U37">
            <v>610</v>
          </cell>
          <cell r="V37">
            <v>414190</v>
          </cell>
        </row>
        <row r="39">
          <cell r="U39">
            <v>1730</v>
          </cell>
          <cell r="V39">
            <v>0</v>
          </cell>
        </row>
        <row r="40">
          <cell r="D40">
            <v>26</v>
          </cell>
          <cell r="U40">
            <v>1730</v>
          </cell>
          <cell r="V40">
            <v>44980</v>
          </cell>
        </row>
        <row r="41">
          <cell r="U41">
            <v>1000</v>
          </cell>
          <cell r="V41">
            <v>0</v>
          </cell>
        </row>
        <row r="43">
          <cell r="D43">
            <v>273</v>
          </cell>
          <cell r="U43">
            <v>760</v>
          </cell>
          <cell r="V43">
            <v>207480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1350</v>
          </cell>
          <cell r="V47">
            <v>0</v>
          </cell>
        </row>
        <row r="48">
          <cell r="D48">
            <v>474</v>
          </cell>
          <cell r="U48">
            <v>660</v>
          </cell>
          <cell r="V48">
            <v>312840</v>
          </cell>
        </row>
        <row r="49">
          <cell r="D49">
            <v>475</v>
          </cell>
          <cell r="U49">
            <v>2000</v>
          </cell>
          <cell r="V49">
            <v>950000</v>
          </cell>
        </row>
        <row r="50">
          <cell r="D50">
            <v>55</v>
          </cell>
          <cell r="U50">
            <v>15030</v>
          </cell>
          <cell r="V50">
            <v>826650</v>
          </cell>
        </row>
        <row r="51">
          <cell r="D51">
            <v>96</v>
          </cell>
          <cell r="U51">
            <v>34510</v>
          </cell>
          <cell r="V51">
            <v>3312960</v>
          </cell>
        </row>
        <row r="52">
          <cell r="D52">
            <v>25</v>
          </cell>
          <cell r="V52">
            <v>215250</v>
          </cell>
        </row>
        <row r="59">
          <cell r="D59">
            <v>5651</v>
          </cell>
          <cell r="U59">
            <v>33020</v>
          </cell>
          <cell r="V59">
            <v>186596020</v>
          </cell>
        </row>
        <row r="60">
          <cell r="U60">
            <v>30400</v>
          </cell>
          <cell r="V60">
            <v>0</v>
          </cell>
        </row>
        <row r="61">
          <cell r="U61">
            <v>25340</v>
          </cell>
          <cell r="V61">
            <v>0</v>
          </cell>
        </row>
        <row r="62">
          <cell r="D62">
            <v>215</v>
          </cell>
          <cell r="U62">
            <v>137290</v>
          </cell>
          <cell r="V62">
            <v>29517350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117</v>
          </cell>
          <cell r="U65">
            <v>66300</v>
          </cell>
          <cell r="V65">
            <v>7757100</v>
          </cell>
        </row>
        <row r="66">
          <cell r="D66">
            <v>177</v>
          </cell>
          <cell r="V66">
            <v>11735100</v>
          </cell>
        </row>
        <row r="67">
          <cell r="V67">
            <v>0</v>
          </cell>
        </row>
        <row r="68">
          <cell r="D68">
            <v>180</v>
          </cell>
          <cell r="U68">
            <v>59490</v>
          </cell>
          <cell r="V68">
            <v>10708200</v>
          </cell>
        </row>
        <row r="69">
          <cell r="U69">
            <v>16880</v>
          </cell>
          <cell r="V69">
            <v>0</v>
          </cell>
        </row>
        <row r="70">
          <cell r="U70">
            <v>26450</v>
          </cell>
          <cell r="V70">
            <v>0</v>
          </cell>
        </row>
        <row r="71">
          <cell r="U71">
            <v>27530</v>
          </cell>
          <cell r="V71">
            <v>0</v>
          </cell>
        </row>
        <row r="72">
          <cell r="U72">
            <v>11100</v>
          </cell>
          <cell r="V72">
            <v>0</v>
          </cell>
        </row>
        <row r="73">
          <cell r="U73">
            <v>26670</v>
          </cell>
          <cell r="V73">
            <v>0</v>
          </cell>
        </row>
        <row r="74">
          <cell r="U74">
            <v>11100</v>
          </cell>
          <cell r="V74">
            <v>0</v>
          </cell>
        </row>
        <row r="75">
          <cell r="U75">
            <v>4890</v>
          </cell>
          <cell r="V75">
            <v>0</v>
          </cell>
        </row>
        <row r="76">
          <cell r="U76">
            <v>33020</v>
          </cell>
          <cell r="V76">
            <v>0</v>
          </cell>
        </row>
        <row r="77">
          <cell r="U77">
            <v>89270</v>
          </cell>
          <cell r="V77">
            <v>0</v>
          </cell>
        </row>
        <row r="78">
          <cell r="U78">
            <v>10540</v>
          </cell>
          <cell r="V78">
            <v>0</v>
          </cell>
        </row>
        <row r="79">
          <cell r="D79">
            <v>34</v>
          </cell>
          <cell r="U79">
            <v>6410</v>
          </cell>
          <cell r="V79">
            <v>217940</v>
          </cell>
        </row>
        <row r="80">
          <cell r="U80">
            <v>46280</v>
          </cell>
          <cell r="V80">
            <v>0</v>
          </cell>
        </row>
        <row r="81">
          <cell r="U81">
            <v>8120</v>
          </cell>
          <cell r="V81">
            <v>0</v>
          </cell>
        </row>
        <row r="83">
          <cell r="V83">
            <v>25595690</v>
          </cell>
        </row>
        <row r="174">
          <cell r="V174">
            <v>31410750</v>
          </cell>
        </row>
        <row r="243">
          <cell r="V243">
            <v>4472670</v>
          </cell>
        </row>
        <row r="289">
          <cell r="V289">
            <v>0</v>
          </cell>
        </row>
        <row r="295">
          <cell r="V295">
            <v>7854500</v>
          </cell>
        </row>
        <row r="362">
          <cell r="V362">
            <v>10214200</v>
          </cell>
        </row>
        <row r="405">
          <cell r="V405">
            <v>190980</v>
          </cell>
        </row>
        <row r="428">
          <cell r="V428">
            <v>8069160</v>
          </cell>
        </row>
        <row r="446">
          <cell r="V446">
            <v>0</v>
          </cell>
        </row>
        <row r="456">
          <cell r="V456">
            <v>163570</v>
          </cell>
        </row>
        <row r="500">
          <cell r="V500">
            <v>3907410</v>
          </cell>
        </row>
        <row r="535">
          <cell r="V535">
            <v>22423200</v>
          </cell>
        </row>
        <row r="590">
          <cell r="V590">
            <v>192240</v>
          </cell>
        </row>
        <row r="615">
          <cell r="V615">
            <v>34752520</v>
          </cell>
        </row>
        <row r="633">
          <cell r="V633">
            <v>11761570</v>
          </cell>
        </row>
        <row r="634">
          <cell r="V634">
            <v>1109620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584</v>
          </cell>
          <cell r="V768">
            <v>3870320</v>
          </cell>
        </row>
        <row r="783">
          <cell r="V783">
            <v>0</v>
          </cell>
        </row>
        <row r="795">
          <cell r="D795">
            <v>204</v>
          </cell>
          <cell r="U795">
            <v>6900</v>
          </cell>
          <cell r="V795">
            <v>1407600</v>
          </cell>
        </row>
        <row r="796">
          <cell r="D796">
            <v>262</v>
          </cell>
          <cell r="U796">
            <v>2700</v>
          </cell>
          <cell r="V796">
            <v>707400</v>
          </cell>
        </row>
        <row r="797">
          <cell r="D797">
            <v>293</v>
          </cell>
          <cell r="U797">
            <v>2700</v>
          </cell>
          <cell r="V797">
            <v>791100</v>
          </cell>
        </row>
        <row r="798">
          <cell r="D798">
            <v>4</v>
          </cell>
          <cell r="U798">
            <v>10760</v>
          </cell>
          <cell r="V798">
            <v>43040</v>
          </cell>
        </row>
        <row r="799">
          <cell r="D799">
            <v>49</v>
          </cell>
          <cell r="U799">
            <v>12600</v>
          </cell>
          <cell r="V799">
            <v>617400</v>
          </cell>
        </row>
        <row r="800">
          <cell r="U800">
            <v>28580</v>
          </cell>
          <cell r="V800">
            <v>0</v>
          </cell>
        </row>
        <row r="801">
          <cell r="U801">
            <v>3550</v>
          </cell>
          <cell r="V801">
            <v>0</v>
          </cell>
        </row>
        <row r="802">
          <cell r="U802">
            <v>9180</v>
          </cell>
          <cell r="V802">
            <v>0</v>
          </cell>
        </row>
        <row r="805">
          <cell r="D805">
            <v>9</v>
          </cell>
          <cell r="U805">
            <v>14260</v>
          </cell>
          <cell r="V805">
            <v>128340</v>
          </cell>
        </row>
        <row r="806">
          <cell r="U806">
            <v>11400</v>
          </cell>
          <cell r="V806">
            <v>0</v>
          </cell>
        </row>
        <row r="807">
          <cell r="U807">
            <v>386950</v>
          </cell>
          <cell r="V807">
            <v>0</v>
          </cell>
        </row>
        <row r="811">
          <cell r="V811">
            <v>0</v>
          </cell>
        </row>
        <row r="882">
          <cell r="V882">
            <v>54080950</v>
          </cell>
        </row>
        <row r="961">
          <cell r="V961">
            <v>2978660</v>
          </cell>
        </row>
        <row r="1036">
          <cell r="D1036">
            <v>2</v>
          </cell>
          <cell r="U1036">
            <v>9120</v>
          </cell>
          <cell r="V1036">
            <v>18240</v>
          </cell>
        </row>
        <row r="1037">
          <cell r="V1037">
            <v>465620</v>
          </cell>
        </row>
        <row r="1098">
          <cell r="V1098">
            <v>3688420</v>
          </cell>
        </row>
        <row r="1166">
          <cell r="V1166">
            <v>1595450</v>
          </cell>
        </row>
        <row r="1197">
          <cell r="D1197">
            <v>663</v>
          </cell>
          <cell r="U1197">
            <v>4880</v>
          </cell>
          <cell r="V1197">
            <v>3235440</v>
          </cell>
        </row>
        <row r="1198">
          <cell r="D1198">
            <v>8</v>
          </cell>
          <cell r="U1198">
            <v>13770</v>
          </cell>
          <cell r="V1198">
            <v>110160</v>
          </cell>
        </row>
        <row r="1199">
          <cell r="D1199">
            <v>26</v>
          </cell>
          <cell r="U1199">
            <v>23350</v>
          </cell>
          <cell r="V1199">
            <v>607100</v>
          </cell>
        </row>
        <row r="1200">
          <cell r="U1200">
            <v>44580</v>
          </cell>
          <cell r="V1200">
            <v>0</v>
          </cell>
        </row>
        <row r="1201">
          <cell r="D1201">
            <v>143</v>
          </cell>
          <cell r="U1201">
            <v>49690</v>
          </cell>
          <cell r="V1201">
            <v>7105670</v>
          </cell>
        </row>
        <row r="1202">
          <cell r="U1202">
            <v>27870</v>
          </cell>
          <cell r="V1202">
            <v>0</v>
          </cell>
        </row>
        <row r="1203">
          <cell r="U1203">
            <v>215630</v>
          </cell>
          <cell r="V1203">
            <v>0</v>
          </cell>
        </row>
        <row r="1204">
          <cell r="U1204">
            <v>245140</v>
          </cell>
          <cell r="V1204">
            <v>0</v>
          </cell>
        </row>
        <row r="1205">
          <cell r="U1205">
            <v>199900</v>
          </cell>
          <cell r="V1205">
            <v>0</v>
          </cell>
        </row>
        <row r="1206">
          <cell r="U1206">
            <v>256770</v>
          </cell>
          <cell r="V1206">
            <v>0</v>
          </cell>
        </row>
        <row r="1207">
          <cell r="U1207">
            <v>262730</v>
          </cell>
          <cell r="V1207">
            <v>0</v>
          </cell>
        </row>
        <row r="1208">
          <cell r="U1208">
            <v>222180</v>
          </cell>
          <cell r="V1208">
            <v>0</v>
          </cell>
        </row>
        <row r="1209">
          <cell r="U1209">
            <v>237160</v>
          </cell>
          <cell r="V1209">
            <v>0</v>
          </cell>
        </row>
        <row r="1210">
          <cell r="U1210">
            <v>283580</v>
          </cell>
          <cell r="V1210">
            <v>0</v>
          </cell>
        </row>
        <row r="1211">
          <cell r="U1211">
            <v>251470</v>
          </cell>
          <cell r="V1211">
            <v>0</v>
          </cell>
        </row>
        <row r="1212">
          <cell r="U1212">
            <v>1840310</v>
          </cell>
          <cell r="V1212">
            <v>0</v>
          </cell>
        </row>
        <row r="1213">
          <cell r="U1213">
            <v>1149460</v>
          </cell>
          <cell r="V1213">
            <v>0</v>
          </cell>
        </row>
        <row r="1214">
          <cell r="U1214">
            <v>1112540</v>
          </cell>
          <cell r="V1214">
            <v>0</v>
          </cell>
        </row>
        <row r="1215">
          <cell r="U1215">
            <v>1165530</v>
          </cell>
          <cell r="V1215">
            <v>0</v>
          </cell>
        </row>
        <row r="1216">
          <cell r="U1216">
            <v>164930</v>
          </cell>
          <cell r="V1216">
            <v>0</v>
          </cell>
        </row>
        <row r="1217">
          <cell r="U1217">
            <v>376370</v>
          </cell>
          <cell r="V1217">
            <v>0</v>
          </cell>
        </row>
        <row r="1218">
          <cell r="U1218">
            <v>139530</v>
          </cell>
          <cell r="V1218">
            <v>0</v>
          </cell>
        </row>
        <row r="1219">
          <cell r="U1219">
            <v>1130520</v>
          </cell>
          <cell r="V1219">
            <v>0</v>
          </cell>
        </row>
        <row r="1220">
          <cell r="U1220">
            <v>1130520</v>
          </cell>
          <cell r="V1220">
            <v>0</v>
          </cell>
        </row>
        <row r="1221">
          <cell r="V1221">
            <v>288870</v>
          </cell>
        </row>
        <row r="1287">
          <cell r="V1287">
            <v>217770</v>
          </cell>
        </row>
        <row r="1354">
          <cell r="D1354">
            <v>62</v>
          </cell>
          <cell r="U1354">
            <v>33720</v>
          </cell>
          <cell r="V1354">
            <v>2090640</v>
          </cell>
        </row>
        <row r="1355">
          <cell r="U1355">
            <v>40670</v>
          </cell>
          <cell r="V1355">
            <v>0</v>
          </cell>
        </row>
        <row r="1356">
          <cell r="D1356">
            <v>10</v>
          </cell>
          <cell r="U1356">
            <v>43320</v>
          </cell>
          <cell r="V1356">
            <v>433200</v>
          </cell>
        </row>
        <row r="1357">
          <cell r="V1357">
            <v>33957245</v>
          </cell>
        </row>
        <row r="1441">
          <cell r="V1441">
            <v>920565</v>
          </cell>
        </row>
        <row r="1481">
          <cell r="U1481">
            <v>41580</v>
          </cell>
          <cell r="V1481">
            <v>0</v>
          </cell>
        </row>
        <row r="1482">
          <cell r="U1482">
            <v>26150</v>
          </cell>
          <cell r="V1482">
            <v>0</v>
          </cell>
        </row>
        <row r="1483">
          <cell r="U1483">
            <v>26930</v>
          </cell>
          <cell r="V1483">
            <v>0</v>
          </cell>
        </row>
        <row r="1484">
          <cell r="U1484">
            <v>808040</v>
          </cell>
          <cell r="V1484">
            <v>0</v>
          </cell>
        </row>
        <row r="1485">
          <cell r="U1485">
            <v>367020</v>
          </cell>
          <cell r="V1485">
            <v>0</v>
          </cell>
        </row>
        <row r="1486">
          <cell r="U1486">
            <v>561210</v>
          </cell>
          <cell r="V1486">
            <v>0</v>
          </cell>
        </row>
        <row r="1487">
          <cell r="U1487">
            <v>50600</v>
          </cell>
          <cell r="V1487">
            <v>0</v>
          </cell>
        </row>
        <row r="1488">
          <cell r="U1488">
            <v>657830</v>
          </cell>
          <cell r="V1488">
            <v>0</v>
          </cell>
        </row>
        <row r="1489">
          <cell r="V1489">
            <v>6451800</v>
          </cell>
        </row>
        <row r="1574">
          <cell r="V1574">
            <v>9348390</v>
          </cell>
        </row>
        <row r="1592">
          <cell r="V1592">
            <v>1658430</v>
          </cell>
        </row>
        <row r="1597">
          <cell r="V1597">
            <v>9638225</v>
          </cell>
        </row>
        <row r="1631">
          <cell r="V1631">
            <v>6511385</v>
          </cell>
        </row>
        <row r="1632">
          <cell r="V1632">
            <v>0</v>
          </cell>
        </row>
        <row r="1633">
          <cell r="D1633">
            <v>19</v>
          </cell>
          <cell r="F1633">
            <v>3</v>
          </cell>
          <cell r="V1633">
            <v>1998135</v>
          </cell>
        </row>
        <row r="1634">
          <cell r="D1634">
            <v>35</v>
          </cell>
          <cell r="V1634">
            <v>4513250</v>
          </cell>
        </row>
        <row r="1635">
          <cell r="V1635">
            <v>0</v>
          </cell>
        </row>
        <row r="1636">
          <cell r="D1636">
            <v>76</v>
          </cell>
          <cell r="U1636">
            <v>128940</v>
          </cell>
          <cell r="V1636">
            <v>9799440</v>
          </cell>
        </row>
        <row r="1637">
          <cell r="D1637">
            <v>3</v>
          </cell>
          <cell r="U1637">
            <v>135670</v>
          </cell>
          <cell r="V1637">
            <v>407010</v>
          </cell>
        </row>
        <row r="1639">
          <cell r="V1639">
            <v>11631250</v>
          </cell>
        </row>
        <row r="1845">
          <cell r="D1845">
            <v>3</v>
          </cell>
          <cell r="F1845">
            <v>0</v>
          </cell>
          <cell r="G1845">
            <v>0</v>
          </cell>
          <cell r="V1845">
            <v>161790</v>
          </cell>
        </row>
        <row r="1849">
          <cell r="D1849">
            <v>24</v>
          </cell>
          <cell r="V1849">
            <v>1685670</v>
          </cell>
        </row>
        <row r="1861">
          <cell r="D1861">
            <v>47</v>
          </cell>
          <cell r="U1861">
            <v>27970</v>
          </cell>
          <cell r="V1861">
            <v>1314590</v>
          </cell>
        </row>
        <row r="1863">
          <cell r="D1863">
            <v>228</v>
          </cell>
          <cell r="U1863">
            <v>18430</v>
          </cell>
          <cell r="V1863">
            <v>4202040</v>
          </cell>
        </row>
        <row r="1864">
          <cell r="D1864">
            <v>199</v>
          </cell>
          <cell r="U1864">
            <v>57970</v>
          </cell>
          <cell r="V1864">
            <v>11536030</v>
          </cell>
        </row>
        <row r="1865">
          <cell r="U1865">
            <v>71860</v>
          </cell>
          <cell r="V1865">
            <v>0</v>
          </cell>
        </row>
        <row r="1866">
          <cell r="D1866">
            <v>211</v>
          </cell>
          <cell r="U1866">
            <v>2520</v>
          </cell>
          <cell r="V1866">
            <v>531720</v>
          </cell>
        </row>
        <row r="1867">
          <cell r="U1867">
            <v>70</v>
          </cell>
          <cell r="V1867">
            <v>0</v>
          </cell>
        </row>
        <row r="1868">
          <cell r="U1868">
            <v>152560</v>
          </cell>
          <cell r="V1868">
            <v>0</v>
          </cell>
        </row>
        <row r="1869">
          <cell r="U1869">
            <v>10370</v>
          </cell>
          <cell r="V1869">
            <v>0</v>
          </cell>
        </row>
        <row r="1871">
          <cell r="V1871">
            <v>4180910</v>
          </cell>
        </row>
        <row r="1889">
          <cell r="V1889">
            <v>4452480</v>
          </cell>
        </row>
        <row r="1914">
          <cell r="V1914">
            <v>4836940</v>
          </cell>
        </row>
        <row r="1941">
          <cell r="D1941">
            <v>425</v>
          </cell>
          <cell r="U1941">
            <v>19310</v>
          </cell>
          <cell r="V1941">
            <v>8206750</v>
          </cell>
        </row>
        <row r="1942">
          <cell r="U1942">
            <v>242060</v>
          </cell>
          <cell r="V1942">
            <v>0</v>
          </cell>
        </row>
        <row r="1944">
          <cell r="U1944">
            <v>247230</v>
          </cell>
          <cell r="V1944">
            <v>0</v>
          </cell>
        </row>
        <row r="1945">
          <cell r="U1945">
            <v>35130</v>
          </cell>
          <cell r="V1945">
            <v>0</v>
          </cell>
        </row>
        <row r="1946">
          <cell r="U1946">
            <v>132520</v>
          </cell>
          <cell r="V1946">
            <v>0</v>
          </cell>
        </row>
        <row r="1947">
          <cell r="U1947">
            <v>132520</v>
          </cell>
          <cell r="V1947">
            <v>0</v>
          </cell>
        </row>
        <row r="1948">
          <cell r="U1948">
            <v>241260</v>
          </cell>
          <cell r="V1948">
            <v>0</v>
          </cell>
        </row>
        <row r="1949">
          <cell r="U1949">
            <v>370240</v>
          </cell>
          <cell r="V1949">
            <v>0</v>
          </cell>
        </row>
        <row r="1950">
          <cell r="U1950">
            <v>631610</v>
          </cell>
          <cell r="V1950">
            <v>0</v>
          </cell>
        </row>
        <row r="1951">
          <cell r="U1951">
            <v>131550</v>
          </cell>
          <cell r="V1951">
            <v>0</v>
          </cell>
        </row>
        <row r="1952">
          <cell r="U1952">
            <v>354560</v>
          </cell>
          <cell r="V1952">
            <v>0</v>
          </cell>
        </row>
        <row r="1953">
          <cell r="U1953">
            <v>149290</v>
          </cell>
          <cell r="V1953">
            <v>0</v>
          </cell>
        </row>
        <row r="1954">
          <cell r="U1954">
            <v>129730</v>
          </cell>
          <cell r="V1954">
            <v>0</v>
          </cell>
        </row>
        <row r="1955">
          <cell r="U1955">
            <v>197230</v>
          </cell>
          <cell r="V1955">
            <v>0</v>
          </cell>
        </row>
        <row r="1956">
          <cell r="U1956">
            <v>51900</v>
          </cell>
          <cell r="V1956">
            <v>0</v>
          </cell>
        </row>
        <row r="1957">
          <cell r="U1957">
            <v>38790</v>
          </cell>
          <cell r="V1957">
            <v>0</v>
          </cell>
        </row>
        <row r="1958">
          <cell r="U1958">
            <v>212700</v>
          </cell>
          <cell r="V1958">
            <v>0</v>
          </cell>
        </row>
        <row r="1959">
          <cell r="U1959">
            <v>1265290</v>
          </cell>
          <cell r="V1959">
            <v>0</v>
          </cell>
        </row>
        <row r="1960">
          <cell r="U1960">
            <v>190900</v>
          </cell>
          <cell r="V1960">
            <v>0</v>
          </cell>
        </row>
        <row r="1961">
          <cell r="U1961">
            <v>168820</v>
          </cell>
          <cell r="V1961">
            <v>0</v>
          </cell>
        </row>
        <row r="1962">
          <cell r="U1962">
            <v>342700</v>
          </cell>
          <cell r="V1962">
            <v>0</v>
          </cell>
        </row>
        <row r="1963">
          <cell r="U1963">
            <v>1139590</v>
          </cell>
          <cell r="V1963">
            <v>0</v>
          </cell>
        </row>
        <row r="1964">
          <cell r="U1964">
            <v>1171120</v>
          </cell>
          <cell r="V1964">
            <v>0</v>
          </cell>
        </row>
        <row r="1965">
          <cell r="U1965">
            <v>927270</v>
          </cell>
          <cell r="V1965">
            <v>0</v>
          </cell>
        </row>
        <row r="1966">
          <cell r="U1966">
            <v>977250</v>
          </cell>
          <cell r="V1966">
            <v>0</v>
          </cell>
        </row>
        <row r="1967">
          <cell r="U1967">
            <v>385520</v>
          </cell>
          <cell r="V1967">
            <v>0</v>
          </cell>
        </row>
        <row r="1968">
          <cell r="U1968">
            <v>92330</v>
          </cell>
          <cell r="V1968">
            <v>0</v>
          </cell>
        </row>
        <row r="1969">
          <cell r="U1969">
            <v>275450</v>
          </cell>
          <cell r="V1969">
            <v>0</v>
          </cell>
        </row>
        <row r="1970">
          <cell r="U1970">
            <v>77880</v>
          </cell>
          <cell r="V1970">
            <v>0</v>
          </cell>
        </row>
        <row r="1971">
          <cell r="U1971">
            <v>1338250</v>
          </cell>
          <cell r="V1971">
            <v>0</v>
          </cell>
        </row>
        <row r="1972">
          <cell r="U1972">
            <v>312910</v>
          </cell>
          <cell r="V1972">
            <v>0</v>
          </cell>
        </row>
        <row r="1973">
          <cell r="U1973">
            <v>1048270</v>
          </cell>
          <cell r="V1973">
            <v>0</v>
          </cell>
        </row>
        <row r="1974">
          <cell r="U1974">
            <v>641750</v>
          </cell>
          <cell r="V1974">
            <v>0</v>
          </cell>
        </row>
        <row r="1975">
          <cell r="U1975">
            <v>523710</v>
          </cell>
          <cell r="V1975">
            <v>0</v>
          </cell>
        </row>
        <row r="1976">
          <cell r="U1976">
            <v>282310</v>
          </cell>
          <cell r="V1976">
            <v>0</v>
          </cell>
        </row>
        <row r="1977">
          <cell r="U1977">
            <v>164590</v>
          </cell>
          <cell r="V1977">
            <v>0</v>
          </cell>
        </row>
        <row r="1978">
          <cell r="U1978">
            <v>397700</v>
          </cell>
          <cell r="V1978">
            <v>0</v>
          </cell>
        </row>
        <row r="1979">
          <cell r="U1979">
            <v>412140</v>
          </cell>
          <cell r="V1979">
            <v>0</v>
          </cell>
        </row>
        <row r="1980">
          <cell r="U1980">
            <v>257530</v>
          </cell>
          <cell r="V1980">
            <v>0</v>
          </cell>
        </row>
        <row r="1981">
          <cell r="D1981">
            <v>102</v>
          </cell>
          <cell r="U1981">
            <v>35020</v>
          </cell>
          <cell r="V1981">
            <v>3572040</v>
          </cell>
        </row>
        <row r="1983">
          <cell r="D1983">
            <v>6</v>
          </cell>
          <cell r="U1983">
            <v>6890</v>
          </cell>
          <cell r="V1983">
            <v>41340</v>
          </cell>
        </row>
        <row r="1984">
          <cell r="U1984">
            <v>3670</v>
          </cell>
          <cell r="V1984">
            <v>0</v>
          </cell>
        </row>
        <row r="1985">
          <cell r="D1985">
            <v>1</v>
          </cell>
          <cell r="U1985">
            <v>13830</v>
          </cell>
          <cell r="V1985">
            <v>13830</v>
          </cell>
        </row>
        <row r="1986">
          <cell r="U1986">
            <v>141790</v>
          </cell>
          <cell r="V1986">
            <v>0</v>
          </cell>
        </row>
        <row r="1987">
          <cell r="D1987">
            <v>1</v>
          </cell>
          <cell r="U1987">
            <v>778770</v>
          </cell>
          <cell r="V1987">
            <v>778770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2014</v>
          </cell>
        </row>
        <row r="11">
          <cell r="B11" t="str">
            <v xml:space="preserve">DR. FRANCISCO MARTINEZ CAVALLA </v>
          </cell>
        </row>
        <row r="12">
          <cell r="A12" t="str">
            <v>Jefe de Estadisticas</v>
          </cell>
          <cell r="B12" t="str">
            <v>SRA. MARIA INES NUÑEZ GONZALEZ</v>
          </cell>
        </row>
      </sheetData>
      <sheetData sheetId="1"/>
      <sheetData sheetId="2">
        <row r="12">
          <cell r="D12">
            <v>60655</v>
          </cell>
        </row>
        <row r="13">
          <cell r="D13">
            <v>23728</v>
          </cell>
        </row>
        <row r="14">
          <cell r="D14">
            <v>25047</v>
          </cell>
        </row>
        <row r="15">
          <cell r="D15">
            <v>1327</v>
          </cell>
        </row>
        <row r="16">
          <cell r="D16">
            <v>0</v>
          </cell>
        </row>
        <row r="17">
          <cell r="D17">
            <v>1553</v>
          </cell>
        </row>
        <row r="18">
          <cell r="D18">
            <v>6120</v>
          </cell>
        </row>
        <row r="19">
          <cell r="D19">
            <v>4768</v>
          </cell>
        </row>
        <row r="20">
          <cell r="D20">
            <v>48</v>
          </cell>
        </row>
        <row r="21">
          <cell r="D21">
            <v>1304</v>
          </cell>
        </row>
        <row r="22">
          <cell r="D22">
            <v>0</v>
          </cell>
        </row>
        <row r="23">
          <cell r="D23">
            <v>64</v>
          </cell>
        </row>
        <row r="24">
          <cell r="D24">
            <v>2816</v>
          </cell>
        </row>
        <row r="25">
          <cell r="D25">
            <v>4804</v>
          </cell>
        </row>
        <row r="26">
          <cell r="D26">
            <v>2869</v>
          </cell>
        </row>
        <row r="27">
          <cell r="D27">
            <v>17</v>
          </cell>
        </row>
        <row r="28">
          <cell r="D28">
            <v>721</v>
          </cell>
        </row>
        <row r="30">
          <cell r="D30">
            <v>806</v>
          </cell>
        </row>
        <row r="31">
          <cell r="D31">
            <v>236</v>
          </cell>
        </row>
        <row r="32">
          <cell r="D32">
            <v>155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3</v>
          </cell>
          <cell r="G68">
            <v>0</v>
          </cell>
          <cell r="H68">
            <v>0</v>
          </cell>
        </row>
        <row r="69">
          <cell r="F69">
            <v>192</v>
          </cell>
          <cell r="G69">
            <v>0</v>
          </cell>
          <cell r="H69">
            <v>0</v>
          </cell>
        </row>
        <row r="70">
          <cell r="F70">
            <v>25</v>
          </cell>
          <cell r="G70">
            <v>6</v>
          </cell>
          <cell r="H70">
            <v>0</v>
          </cell>
        </row>
        <row r="71">
          <cell r="F71">
            <v>1</v>
          </cell>
          <cell r="G71">
            <v>1</v>
          </cell>
          <cell r="H71">
            <v>0</v>
          </cell>
        </row>
        <row r="72">
          <cell r="F72">
            <v>78</v>
          </cell>
          <cell r="G72">
            <v>1</v>
          </cell>
          <cell r="H72">
            <v>0</v>
          </cell>
        </row>
        <row r="73">
          <cell r="F73">
            <v>116</v>
          </cell>
          <cell r="G73">
            <v>3</v>
          </cell>
          <cell r="H73">
            <v>0</v>
          </cell>
        </row>
        <row r="74">
          <cell r="F74">
            <v>4</v>
          </cell>
          <cell r="G74">
            <v>1</v>
          </cell>
          <cell r="H74">
            <v>0</v>
          </cell>
        </row>
        <row r="75">
          <cell r="F75">
            <v>5</v>
          </cell>
          <cell r="G75">
            <v>1</v>
          </cell>
          <cell r="H75">
            <v>0</v>
          </cell>
        </row>
        <row r="76">
          <cell r="F76">
            <v>138</v>
          </cell>
          <cell r="G76">
            <v>20</v>
          </cell>
          <cell r="H76">
            <v>0</v>
          </cell>
        </row>
        <row r="77">
          <cell r="F77">
            <v>12</v>
          </cell>
          <cell r="G77">
            <v>0</v>
          </cell>
          <cell r="H77">
            <v>0</v>
          </cell>
        </row>
        <row r="78">
          <cell r="F78">
            <v>27</v>
          </cell>
          <cell r="G78">
            <v>4</v>
          </cell>
          <cell r="H78">
            <v>0</v>
          </cell>
        </row>
        <row r="79">
          <cell r="F79">
            <v>9</v>
          </cell>
          <cell r="G79">
            <v>0</v>
          </cell>
          <cell r="H79">
            <v>0</v>
          </cell>
        </row>
        <row r="80">
          <cell r="F80">
            <v>52</v>
          </cell>
          <cell r="G80">
            <v>9</v>
          </cell>
          <cell r="H80">
            <v>0</v>
          </cell>
        </row>
        <row r="81">
          <cell r="F81">
            <v>70</v>
          </cell>
          <cell r="G81">
            <v>2</v>
          </cell>
          <cell r="H81">
            <v>0</v>
          </cell>
        </row>
        <row r="82">
          <cell r="F82">
            <v>49</v>
          </cell>
          <cell r="G82">
            <v>2</v>
          </cell>
          <cell r="H82">
            <v>0</v>
          </cell>
        </row>
        <row r="130">
          <cell r="E130">
            <v>1232</v>
          </cell>
        </row>
      </sheetData>
      <sheetData sheetId="3">
        <row r="13">
          <cell r="U13">
            <v>4170</v>
          </cell>
          <cell r="V13">
            <v>0</v>
          </cell>
        </row>
        <row r="14">
          <cell r="U14">
            <v>5240</v>
          </cell>
          <cell r="V14">
            <v>0</v>
          </cell>
        </row>
        <row r="15">
          <cell r="D15">
            <v>6223</v>
          </cell>
          <cell r="U15">
            <v>11250</v>
          </cell>
          <cell r="V15">
            <v>70008750</v>
          </cell>
        </row>
        <row r="16">
          <cell r="U16">
            <v>6720</v>
          </cell>
          <cell r="V16">
            <v>0</v>
          </cell>
        </row>
        <row r="17">
          <cell r="U17">
            <v>7370</v>
          </cell>
          <cell r="V17">
            <v>0</v>
          </cell>
        </row>
        <row r="18">
          <cell r="U18">
            <v>14110</v>
          </cell>
          <cell r="V18">
            <v>0</v>
          </cell>
        </row>
        <row r="19">
          <cell r="D19">
            <v>64</v>
          </cell>
          <cell r="U19">
            <v>14110</v>
          </cell>
          <cell r="V19">
            <v>903040</v>
          </cell>
        </row>
        <row r="20">
          <cell r="U20">
            <v>5690</v>
          </cell>
          <cell r="V20">
            <v>0</v>
          </cell>
        </row>
        <row r="21">
          <cell r="U21">
            <v>6820</v>
          </cell>
          <cell r="V21">
            <v>0</v>
          </cell>
        </row>
        <row r="22">
          <cell r="U22">
            <v>8460</v>
          </cell>
          <cell r="V22">
            <v>0</v>
          </cell>
        </row>
        <row r="23">
          <cell r="D23">
            <v>2241</v>
          </cell>
          <cell r="U23">
            <v>5690</v>
          </cell>
          <cell r="V23">
            <v>12751290</v>
          </cell>
        </row>
        <row r="24">
          <cell r="D24">
            <v>1528</v>
          </cell>
          <cell r="U24">
            <v>6820</v>
          </cell>
          <cell r="V24">
            <v>10420960</v>
          </cell>
        </row>
        <row r="25">
          <cell r="D25">
            <v>2397</v>
          </cell>
          <cell r="U25">
            <v>8460</v>
          </cell>
          <cell r="V25">
            <v>20278620</v>
          </cell>
        </row>
        <row r="27">
          <cell r="D27">
            <v>1734</v>
          </cell>
          <cell r="U27">
            <v>1110</v>
          </cell>
          <cell r="V27">
            <v>1924740</v>
          </cell>
        </row>
        <row r="28">
          <cell r="U28">
            <v>1900</v>
          </cell>
          <cell r="V28">
            <v>0</v>
          </cell>
        </row>
        <row r="29">
          <cell r="U29">
            <v>610</v>
          </cell>
          <cell r="V29">
            <v>0</v>
          </cell>
        </row>
        <row r="30">
          <cell r="D30">
            <v>130</v>
          </cell>
          <cell r="U30">
            <v>1500</v>
          </cell>
          <cell r="V30">
            <v>195000</v>
          </cell>
        </row>
        <row r="31">
          <cell r="D31">
            <v>2800</v>
          </cell>
          <cell r="U31">
            <v>1210</v>
          </cell>
          <cell r="V31">
            <v>3388000</v>
          </cell>
        </row>
        <row r="32">
          <cell r="U32">
            <v>1110</v>
          </cell>
          <cell r="V32">
            <v>0</v>
          </cell>
        </row>
        <row r="34">
          <cell r="D34">
            <v>30</v>
          </cell>
          <cell r="U34">
            <v>3640</v>
          </cell>
          <cell r="V34">
            <v>109200</v>
          </cell>
        </row>
        <row r="35">
          <cell r="D35">
            <v>643</v>
          </cell>
          <cell r="U35">
            <v>2000</v>
          </cell>
          <cell r="V35">
            <v>1286000</v>
          </cell>
        </row>
        <row r="36">
          <cell r="D36">
            <v>1</v>
          </cell>
          <cell r="U36">
            <v>2000</v>
          </cell>
          <cell r="V36">
            <v>2000</v>
          </cell>
        </row>
        <row r="37">
          <cell r="D37">
            <v>613</v>
          </cell>
          <cell r="U37">
            <v>610</v>
          </cell>
          <cell r="V37">
            <v>373930</v>
          </cell>
        </row>
        <row r="39">
          <cell r="D39">
            <v>5</v>
          </cell>
          <cell r="U39">
            <v>1730</v>
          </cell>
          <cell r="V39">
            <v>8650</v>
          </cell>
        </row>
        <row r="40">
          <cell r="D40">
            <v>20</v>
          </cell>
          <cell r="U40">
            <v>1730</v>
          </cell>
          <cell r="V40">
            <v>34600</v>
          </cell>
        </row>
        <row r="41">
          <cell r="U41">
            <v>1000</v>
          </cell>
          <cell r="V41">
            <v>0</v>
          </cell>
        </row>
        <row r="43">
          <cell r="D43">
            <v>288</v>
          </cell>
          <cell r="U43">
            <v>760</v>
          </cell>
          <cell r="V43">
            <v>218880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1350</v>
          </cell>
          <cell r="V47">
            <v>0</v>
          </cell>
        </row>
        <row r="48">
          <cell r="D48">
            <v>478</v>
          </cell>
          <cell r="U48">
            <v>660</v>
          </cell>
          <cell r="V48">
            <v>315480</v>
          </cell>
        </row>
        <row r="49">
          <cell r="D49">
            <v>476</v>
          </cell>
          <cell r="U49">
            <v>2000</v>
          </cell>
          <cell r="V49">
            <v>952000</v>
          </cell>
        </row>
        <row r="50">
          <cell r="D50">
            <v>55</v>
          </cell>
          <cell r="U50">
            <v>15030</v>
          </cell>
          <cell r="V50">
            <v>826650</v>
          </cell>
        </row>
        <row r="51">
          <cell r="D51">
            <v>92</v>
          </cell>
          <cell r="U51">
            <v>34510</v>
          </cell>
          <cell r="V51">
            <v>3174920</v>
          </cell>
        </row>
        <row r="52">
          <cell r="D52">
            <v>31</v>
          </cell>
          <cell r="V52">
            <v>266910</v>
          </cell>
        </row>
        <row r="59">
          <cell r="D59">
            <v>5496</v>
          </cell>
          <cell r="U59">
            <v>33020</v>
          </cell>
          <cell r="V59">
            <v>181477920</v>
          </cell>
        </row>
        <row r="60">
          <cell r="U60">
            <v>30400</v>
          </cell>
          <cell r="V60">
            <v>0</v>
          </cell>
        </row>
        <row r="61">
          <cell r="U61">
            <v>25340</v>
          </cell>
          <cell r="V61">
            <v>0</v>
          </cell>
        </row>
        <row r="62">
          <cell r="D62">
            <v>189</v>
          </cell>
          <cell r="U62">
            <v>137290</v>
          </cell>
          <cell r="V62">
            <v>25947810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160</v>
          </cell>
          <cell r="U65">
            <v>66300</v>
          </cell>
          <cell r="V65">
            <v>10608000</v>
          </cell>
        </row>
        <row r="66">
          <cell r="D66">
            <v>118</v>
          </cell>
          <cell r="V66">
            <v>7823400</v>
          </cell>
        </row>
        <row r="67">
          <cell r="V67">
            <v>0</v>
          </cell>
        </row>
        <row r="68">
          <cell r="D68">
            <v>198</v>
          </cell>
          <cell r="U68">
            <v>59490</v>
          </cell>
          <cell r="V68">
            <v>11779020</v>
          </cell>
        </row>
        <row r="69">
          <cell r="U69">
            <v>16880</v>
          </cell>
          <cell r="V69">
            <v>0</v>
          </cell>
        </row>
        <row r="70">
          <cell r="U70">
            <v>26450</v>
          </cell>
          <cell r="V70">
            <v>0</v>
          </cell>
        </row>
        <row r="71">
          <cell r="U71">
            <v>27530</v>
          </cell>
          <cell r="V71">
            <v>0</v>
          </cell>
        </row>
        <row r="72">
          <cell r="U72">
            <v>11100</v>
          </cell>
          <cell r="V72">
            <v>0</v>
          </cell>
        </row>
        <row r="73">
          <cell r="U73">
            <v>26670</v>
          </cell>
          <cell r="V73">
            <v>0</v>
          </cell>
        </row>
        <row r="74">
          <cell r="U74">
            <v>11100</v>
          </cell>
          <cell r="V74">
            <v>0</v>
          </cell>
        </row>
        <row r="75">
          <cell r="U75">
            <v>4890</v>
          </cell>
          <cell r="V75">
            <v>0</v>
          </cell>
        </row>
        <row r="76">
          <cell r="U76">
            <v>33020</v>
          </cell>
          <cell r="V76">
            <v>0</v>
          </cell>
        </row>
        <row r="77">
          <cell r="U77">
            <v>89270</v>
          </cell>
          <cell r="V77">
            <v>0</v>
          </cell>
        </row>
        <row r="78">
          <cell r="U78">
            <v>10540</v>
          </cell>
          <cell r="V78">
            <v>0</v>
          </cell>
        </row>
        <row r="79">
          <cell r="D79">
            <v>33</v>
          </cell>
          <cell r="U79">
            <v>6410</v>
          </cell>
          <cell r="V79">
            <v>211530</v>
          </cell>
        </row>
        <row r="80">
          <cell r="U80">
            <v>46280</v>
          </cell>
          <cell r="V80">
            <v>0</v>
          </cell>
        </row>
        <row r="81">
          <cell r="U81">
            <v>8120</v>
          </cell>
          <cell r="V81">
            <v>0</v>
          </cell>
        </row>
        <row r="83">
          <cell r="V83">
            <v>24984820</v>
          </cell>
        </row>
        <row r="174">
          <cell r="V174">
            <v>30080900</v>
          </cell>
        </row>
        <row r="243">
          <cell r="V243">
            <v>4632450</v>
          </cell>
        </row>
        <row r="289">
          <cell r="V289">
            <v>0</v>
          </cell>
        </row>
        <row r="295">
          <cell r="V295">
            <v>7285670</v>
          </cell>
        </row>
        <row r="362">
          <cell r="V362">
            <v>10772940</v>
          </cell>
        </row>
        <row r="405">
          <cell r="V405">
            <v>129870</v>
          </cell>
        </row>
        <row r="428">
          <cell r="V428">
            <v>5214000</v>
          </cell>
        </row>
        <row r="446">
          <cell r="V446">
            <v>0</v>
          </cell>
        </row>
        <row r="456">
          <cell r="V456">
            <v>141750</v>
          </cell>
        </row>
        <row r="500">
          <cell r="V500">
            <v>3399120</v>
          </cell>
        </row>
        <row r="535">
          <cell r="V535">
            <v>22588610</v>
          </cell>
        </row>
        <row r="590">
          <cell r="V590">
            <v>423890</v>
          </cell>
        </row>
        <row r="615">
          <cell r="V615">
            <v>36782020</v>
          </cell>
        </row>
        <row r="633">
          <cell r="V633">
            <v>14205750</v>
          </cell>
        </row>
        <row r="634">
          <cell r="V634">
            <v>1201240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505</v>
          </cell>
          <cell r="V768">
            <v>3666780</v>
          </cell>
        </row>
        <row r="783">
          <cell r="V783">
            <v>0</v>
          </cell>
        </row>
        <row r="795">
          <cell r="D795">
            <v>205</v>
          </cell>
          <cell r="U795">
            <v>6900</v>
          </cell>
          <cell r="V795">
            <v>1414500</v>
          </cell>
        </row>
        <row r="796">
          <cell r="D796">
            <v>58</v>
          </cell>
          <cell r="U796">
            <v>2700</v>
          </cell>
          <cell r="V796">
            <v>156600</v>
          </cell>
        </row>
        <row r="797">
          <cell r="D797">
            <v>524</v>
          </cell>
          <cell r="U797">
            <v>2700</v>
          </cell>
          <cell r="V797">
            <v>1414800</v>
          </cell>
        </row>
        <row r="798">
          <cell r="D798">
            <v>4</v>
          </cell>
          <cell r="U798">
            <v>10760</v>
          </cell>
          <cell r="V798">
            <v>43040</v>
          </cell>
        </row>
        <row r="799">
          <cell r="D799">
            <v>41</v>
          </cell>
          <cell r="U799">
            <v>12600</v>
          </cell>
          <cell r="V799">
            <v>516600</v>
          </cell>
        </row>
        <row r="800">
          <cell r="U800">
            <v>28580</v>
          </cell>
          <cell r="V800">
            <v>0</v>
          </cell>
        </row>
        <row r="801">
          <cell r="U801">
            <v>3550</v>
          </cell>
          <cell r="V801">
            <v>0</v>
          </cell>
        </row>
        <row r="802">
          <cell r="U802">
            <v>9180</v>
          </cell>
          <cell r="V802">
            <v>0</v>
          </cell>
        </row>
        <row r="805">
          <cell r="D805">
            <v>13</v>
          </cell>
          <cell r="U805">
            <v>14260</v>
          </cell>
          <cell r="V805">
            <v>185380</v>
          </cell>
        </row>
        <row r="806">
          <cell r="U806">
            <v>11400</v>
          </cell>
          <cell r="V806">
            <v>0</v>
          </cell>
        </row>
        <row r="807">
          <cell r="U807">
            <v>386950</v>
          </cell>
          <cell r="V807">
            <v>0</v>
          </cell>
        </row>
        <row r="811">
          <cell r="V811">
            <v>448260</v>
          </cell>
        </row>
        <row r="882">
          <cell r="V882">
            <v>61292240</v>
          </cell>
        </row>
        <row r="961">
          <cell r="V961">
            <v>2696165</v>
          </cell>
        </row>
        <row r="1036">
          <cell r="U1036">
            <v>9120</v>
          </cell>
          <cell r="V1036">
            <v>0</v>
          </cell>
        </row>
        <row r="1037">
          <cell r="V1037">
            <v>267950</v>
          </cell>
        </row>
        <row r="1098">
          <cell r="V1098">
            <v>4158290</v>
          </cell>
        </row>
        <row r="1166">
          <cell r="V1166">
            <v>2571620</v>
          </cell>
        </row>
        <row r="1197">
          <cell r="D1197">
            <v>776</v>
          </cell>
          <cell r="U1197">
            <v>4880</v>
          </cell>
          <cell r="V1197">
            <v>3786880</v>
          </cell>
        </row>
        <row r="1198">
          <cell r="D1198">
            <v>15</v>
          </cell>
          <cell r="U1198">
            <v>13770</v>
          </cell>
          <cell r="V1198">
            <v>206550</v>
          </cell>
        </row>
        <row r="1199">
          <cell r="D1199">
            <v>39</v>
          </cell>
          <cell r="U1199">
            <v>23350</v>
          </cell>
          <cell r="V1199">
            <v>910650</v>
          </cell>
        </row>
        <row r="1200">
          <cell r="U1200">
            <v>44580</v>
          </cell>
          <cell r="V1200">
            <v>0</v>
          </cell>
        </row>
        <row r="1201">
          <cell r="D1201">
            <v>144</v>
          </cell>
          <cell r="U1201">
            <v>49690</v>
          </cell>
          <cell r="V1201">
            <v>7155360</v>
          </cell>
        </row>
        <row r="1202">
          <cell r="U1202">
            <v>27870</v>
          </cell>
          <cell r="V1202">
            <v>0</v>
          </cell>
        </row>
        <row r="1203">
          <cell r="U1203">
            <v>215630</v>
          </cell>
          <cell r="V1203">
            <v>0</v>
          </cell>
        </row>
        <row r="1204">
          <cell r="U1204">
            <v>245140</v>
          </cell>
          <cell r="V1204">
            <v>0</v>
          </cell>
        </row>
        <row r="1205">
          <cell r="U1205">
            <v>199900</v>
          </cell>
          <cell r="V1205">
            <v>0</v>
          </cell>
        </row>
        <row r="1206">
          <cell r="U1206">
            <v>256770</v>
          </cell>
          <cell r="V1206">
            <v>0</v>
          </cell>
        </row>
        <row r="1207">
          <cell r="U1207">
            <v>262730</v>
          </cell>
          <cell r="V1207">
            <v>0</v>
          </cell>
        </row>
        <row r="1208">
          <cell r="U1208">
            <v>222180</v>
          </cell>
          <cell r="V1208">
            <v>0</v>
          </cell>
        </row>
        <row r="1209">
          <cell r="U1209">
            <v>237160</v>
          </cell>
          <cell r="V1209">
            <v>0</v>
          </cell>
        </row>
        <row r="1210">
          <cell r="U1210">
            <v>283580</v>
          </cell>
          <cell r="V1210">
            <v>0</v>
          </cell>
        </row>
        <row r="1211">
          <cell r="U1211">
            <v>251470</v>
          </cell>
          <cell r="V1211">
            <v>0</v>
          </cell>
        </row>
        <row r="1212">
          <cell r="U1212">
            <v>1840310</v>
          </cell>
          <cell r="V1212">
            <v>0</v>
          </cell>
        </row>
        <row r="1213">
          <cell r="U1213">
            <v>1149460</v>
          </cell>
          <cell r="V1213">
            <v>0</v>
          </cell>
        </row>
        <row r="1214">
          <cell r="U1214">
            <v>1112540</v>
          </cell>
          <cell r="V1214">
            <v>0</v>
          </cell>
        </row>
        <row r="1215">
          <cell r="U1215">
            <v>1165530</v>
          </cell>
          <cell r="V1215">
            <v>0</v>
          </cell>
        </row>
        <row r="1216">
          <cell r="U1216">
            <v>164930</v>
          </cell>
          <cell r="V1216">
            <v>0</v>
          </cell>
        </row>
        <row r="1217">
          <cell r="U1217">
            <v>376370</v>
          </cell>
          <cell r="V1217">
            <v>0</v>
          </cell>
        </row>
        <row r="1218">
          <cell r="U1218">
            <v>139530</v>
          </cell>
          <cell r="V1218">
            <v>0</v>
          </cell>
        </row>
        <row r="1219">
          <cell r="U1219">
            <v>1130520</v>
          </cell>
          <cell r="V1219">
            <v>0</v>
          </cell>
        </row>
        <row r="1220">
          <cell r="U1220">
            <v>1130520</v>
          </cell>
          <cell r="V1220">
            <v>0</v>
          </cell>
        </row>
        <row r="1221">
          <cell r="V1221">
            <v>630945</v>
          </cell>
        </row>
        <row r="1287">
          <cell r="V1287">
            <v>596595</v>
          </cell>
        </row>
        <row r="1354">
          <cell r="D1354">
            <v>51</v>
          </cell>
          <cell r="U1354">
            <v>33720</v>
          </cell>
          <cell r="V1354">
            <v>1719720</v>
          </cell>
        </row>
        <row r="1355">
          <cell r="U1355">
            <v>40670</v>
          </cell>
          <cell r="V1355">
            <v>0</v>
          </cell>
        </row>
        <row r="1356">
          <cell r="D1356">
            <v>12</v>
          </cell>
          <cell r="U1356">
            <v>43320</v>
          </cell>
          <cell r="V1356">
            <v>519840</v>
          </cell>
        </row>
        <row r="1357">
          <cell r="V1357">
            <v>36468900</v>
          </cell>
        </row>
        <row r="1441">
          <cell r="V1441">
            <v>1097270</v>
          </cell>
        </row>
        <row r="1481">
          <cell r="U1481">
            <v>41580</v>
          </cell>
          <cell r="V1481">
            <v>0</v>
          </cell>
        </row>
        <row r="1482">
          <cell r="U1482">
            <v>26150</v>
          </cell>
          <cell r="V1482">
            <v>0</v>
          </cell>
        </row>
        <row r="1483">
          <cell r="U1483">
            <v>26930</v>
          </cell>
          <cell r="V1483">
            <v>0</v>
          </cell>
        </row>
        <row r="1484">
          <cell r="U1484">
            <v>808040</v>
          </cell>
          <cell r="V1484">
            <v>0</v>
          </cell>
        </row>
        <row r="1485">
          <cell r="U1485">
            <v>367020</v>
          </cell>
          <cell r="V1485">
            <v>0</v>
          </cell>
        </row>
        <row r="1486">
          <cell r="U1486">
            <v>561210</v>
          </cell>
          <cell r="V1486">
            <v>0</v>
          </cell>
        </row>
        <row r="1487">
          <cell r="U1487">
            <v>50600</v>
          </cell>
          <cell r="V1487">
            <v>0</v>
          </cell>
        </row>
        <row r="1488">
          <cell r="U1488">
            <v>657830</v>
          </cell>
          <cell r="V1488">
            <v>0</v>
          </cell>
        </row>
        <row r="1489">
          <cell r="V1489">
            <v>5363920</v>
          </cell>
        </row>
        <row r="1574">
          <cell r="V1574">
            <v>10795290</v>
          </cell>
        </row>
        <row r="1592">
          <cell r="V1592">
            <v>2266510</v>
          </cell>
        </row>
        <row r="1597">
          <cell r="V1597">
            <v>11510245</v>
          </cell>
        </row>
        <row r="1631">
          <cell r="V1631">
            <v>8431410</v>
          </cell>
        </row>
        <row r="1632">
          <cell r="V1632">
            <v>0</v>
          </cell>
        </row>
        <row r="1633">
          <cell r="D1633">
            <v>22</v>
          </cell>
          <cell r="F1633">
            <v>2</v>
          </cell>
          <cell r="V1633">
            <v>2241810</v>
          </cell>
        </row>
        <row r="1634">
          <cell r="D1634">
            <v>48</v>
          </cell>
          <cell r="V1634">
            <v>6189600</v>
          </cell>
        </row>
        <row r="1635">
          <cell r="V1635">
            <v>0</v>
          </cell>
        </row>
        <row r="1636">
          <cell r="D1636">
            <v>89</v>
          </cell>
          <cell r="U1636">
            <v>128940</v>
          </cell>
          <cell r="V1636">
            <v>11475660</v>
          </cell>
        </row>
        <row r="1637">
          <cell r="D1637">
            <v>3</v>
          </cell>
          <cell r="U1637">
            <v>135670</v>
          </cell>
          <cell r="V1637">
            <v>407010</v>
          </cell>
        </row>
        <row r="1639">
          <cell r="V1639">
            <v>9835740</v>
          </cell>
        </row>
        <row r="1845">
          <cell r="D1845">
            <v>10</v>
          </cell>
          <cell r="F1845">
            <v>1</v>
          </cell>
          <cell r="G1845">
            <v>0</v>
          </cell>
          <cell r="V1845">
            <v>593140</v>
          </cell>
        </row>
        <row r="1849">
          <cell r="D1849">
            <v>20</v>
          </cell>
          <cell r="V1849">
            <v>1425750</v>
          </cell>
        </row>
        <row r="1861">
          <cell r="D1861">
            <v>54</v>
          </cell>
          <cell r="U1861">
            <v>27970</v>
          </cell>
          <cell r="V1861">
            <v>1510380</v>
          </cell>
        </row>
        <row r="1863">
          <cell r="D1863">
            <v>53</v>
          </cell>
          <cell r="U1863">
            <v>18430</v>
          </cell>
          <cell r="V1863">
            <v>976790</v>
          </cell>
        </row>
        <row r="1864">
          <cell r="D1864">
            <v>55</v>
          </cell>
          <cell r="U1864">
            <v>57970</v>
          </cell>
          <cell r="V1864">
            <v>3188350</v>
          </cell>
        </row>
        <row r="1865">
          <cell r="U1865">
            <v>71860</v>
          </cell>
          <cell r="V1865">
            <v>0</v>
          </cell>
        </row>
        <row r="1866">
          <cell r="D1866">
            <v>138</v>
          </cell>
          <cell r="U1866">
            <v>2520</v>
          </cell>
          <cell r="V1866">
            <v>347760</v>
          </cell>
        </row>
        <row r="1867">
          <cell r="U1867">
            <v>70</v>
          </cell>
          <cell r="V1867">
            <v>0</v>
          </cell>
        </row>
        <row r="1868">
          <cell r="U1868">
            <v>152560</v>
          </cell>
          <cell r="V1868">
            <v>0</v>
          </cell>
        </row>
        <row r="1869">
          <cell r="U1869">
            <v>10370</v>
          </cell>
          <cell r="V1869">
            <v>0</v>
          </cell>
        </row>
        <row r="1871">
          <cell r="V1871">
            <v>4791860</v>
          </cell>
        </row>
        <row r="1889">
          <cell r="V1889">
            <v>4690630</v>
          </cell>
        </row>
        <row r="1914">
          <cell r="V1914">
            <v>3873500</v>
          </cell>
        </row>
        <row r="1941">
          <cell r="D1941">
            <v>435</v>
          </cell>
          <cell r="U1941">
            <v>19310</v>
          </cell>
          <cell r="V1941">
            <v>8399850</v>
          </cell>
        </row>
        <row r="1942">
          <cell r="U1942">
            <v>242060</v>
          </cell>
          <cell r="V1942">
            <v>0</v>
          </cell>
        </row>
        <row r="1944">
          <cell r="U1944">
            <v>247230</v>
          </cell>
          <cell r="V1944">
            <v>0</v>
          </cell>
        </row>
        <row r="1945">
          <cell r="U1945">
            <v>35130</v>
          </cell>
          <cell r="V1945">
            <v>0</v>
          </cell>
        </row>
        <row r="1946">
          <cell r="U1946">
            <v>132520</v>
          </cell>
          <cell r="V1946">
            <v>0</v>
          </cell>
        </row>
        <row r="1947">
          <cell r="U1947">
            <v>132520</v>
          </cell>
          <cell r="V1947">
            <v>0</v>
          </cell>
        </row>
        <row r="1948">
          <cell r="U1948">
            <v>241260</v>
          </cell>
          <cell r="V1948">
            <v>0</v>
          </cell>
        </row>
        <row r="1949">
          <cell r="U1949">
            <v>370240</v>
          </cell>
          <cell r="V1949">
            <v>0</v>
          </cell>
        </row>
        <row r="1950">
          <cell r="U1950">
            <v>631610</v>
          </cell>
          <cell r="V1950">
            <v>0</v>
          </cell>
        </row>
        <row r="1951">
          <cell r="U1951">
            <v>131550</v>
          </cell>
          <cell r="V1951">
            <v>0</v>
          </cell>
        </row>
        <row r="1952">
          <cell r="U1952">
            <v>354560</v>
          </cell>
          <cell r="V1952">
            <v>0</v>
          </cell>
        </row>
        <row r="1953">
          <cell r="U1953">
            <v>149290</v>
          </cell>
          <cell r="V1953">
            <v>0</v>
          </cell>
        </row>
        <row r="1954">
          <cell r="U1954">
            <v>129730</v>
          </cell>
          <cell r="V1954">
            <v>0</v>
          </cell>
        </row>
        <row r="1955">
          <cell r="U1955">
            <v>197230</v>
          </cell>
          <cell r="V1955">
            <v>0</v>
          </cell>
        </row>
        <row r="1956">
          <cell r="U1956">
            <v>51900</v>
          </cell>
          <cell r="V1956">
            <v>0</v>
          </cell>
        </row>
        <row r="1957">
          <cell r="U1957">
            <v>38790</v>
          </cell>
          <cell r="V1957">
            <v>0</v>
          </cell>
        </row>
        <row r="1958">
          <cell r="U1958">
            <v>212700</v>
          </cell>
          <cell r="V1958">
            <v>0</v>
          </cell>
        </row>
        <row r="1959">
          <cell r="U1959">
            <v>1265290</v>
          </cell>
          <cell r="V1959">
            <v>0</v>
          </cell>
        </row>
        <row r="1960">
          <cell r="U1960">
            <v>190900</v>
          </cell>
          <cell r="V1960">
            <v>0</v>
          </cell>
        </row>
        <row r="1961">
          <cell r="U1961">
            <v>168820</v>
          </cell>
          <cell r="V1961">
            <v>0</v>
          </cell>
        </row>
        <row r="1962">
          <cell r="U1962">
            <v>342700</v>
          </cell>
          <cell r="V1962">
            <v>0</v>
          </cell>
        </row>
        <row r="1963">
          <cell r="U1963">
            <v>1139590</v>
          </cell>
          <cell r="V1963">
            <v>0</v>
          </cell>
        </row>
        <row r="1964">
          <cell r="U1964">
            <v>1171120</v>
          </cell>
          <cell r="V1964">
            <v>0</v>
          </cell>
        </row>
        <row r="1965">
          <cell r="U1965">
            <v>927270</v>
          </cell>
          <cell r="V1965">
            <v>0</v>
          </cell>
        </row>
        <row r="1966">
          <cell r="U1966">
            <v>977250</v>
          </cell>
          <cell r="V1966">
            <v>0</v>
          </cell>
        </row>
        <row r="1967">
          <cell r="U1967">
            <v>385520</v>
          </cell>
          <cell r="V1967">
            <v>0</v>
          </cell>
        </row>
        <row r="1968">
          <cell r="U1968">
            <v>92330</v>
          </cell>
          <cell r="V1968">
            <v>0</v>
          </cell>
        </row>
        <row r="1969">
          <cell r="U1969">
            <v>275450</v>
          </cell>
          <cell r="V1969">
            <v>0</v>
          </cell>
        </row>
        <row r="1970">
          <cell r="U1970">
            <v>77880</v>
          </cell>
          <cell r="V1970">
            <v>0</v>
          </cell>
        </row>
        <row r="1971">
          <cell r="U1971">
            <v>1338250</v>
          </cell>
          <cell r="V1971">
            <v>0</v>
          </cell>
        </row>
        <row r="1972">
          <cell r="U1972">
            <v>312910</v>
          </cell>
          <cell r="V1972">
            <v>0</v>
          </cell>
        </row>
        <row r="1973">
          <cell r="U1973">
            <v>1048270</v>
          </cell>
          <cell r="V1973">
            <v>0</v>
          </cell>
        </row>
        <row r="1974">
          <cell r="U1974">
            <v>641750</v>
          </cell>
          <cell r="V1974">
            <v>0</v>
          </cell>
        </row>
        <row r="1975">
          <cell r="U1975">
            <v>523710</v>
          </cell>
          <cell r="V1975">
            <v>0</v>
          </cell>
        </row>
        <row r="1976">
          <cell r="U1976">
            <v>282310</v>
          </cell>
          <cell r="V1976">
            <v>0</v>
          </cell>
        </row>
        <row r="1977">
          <cell r="U1977">
            <v>164590</v>
          </cell>
          <cell r="V1977">
            <v>0</v>
          </cell>
        </row>
        <row r="1978">
          <cell r="U1978">
            <v>397700</v>
          </cell>
          <cell r="V1978">
            <v>0</v>
          </cell>
        </row>
        <row r="1979">
          <cell r="U1979">
            <v>412140</v>
          </cell>
          <cell r="V1979">
            <v>0</v>
          </cell>
        </row>
        <row r="1980">
          <cell r="U1980">
            <v>257530</v>
          </cell>
          <cell r="V1980">
            <v>0</v>
          </cell>
        </row>
        <row r="1981">
          <cell r="D1981">
            <v>102</v>
          </cell>
          <cell r="U1981">
            <v>35020</v>
          </cell>
          <cell r="V1981">
            <v>3572040</v>
          </cell>
        </row>
        <row r="1983">
          <cell r="D1983">
            <v>6</v>
          </cell>
          <cell r="U1983">
            <v>6890</v>
          </cell>
          <cell r="V1983">
            <v>41340</v>
          </cell>
        </row>
        <row r="1984">
          <cell r="U1984">
            <v>3670</v>
          </cell>
          <cell r="V1984">
            <v>0</v>
          </cell>
        </row>
        <row r="1985">
          <cell r="D1985">
            <v>1</v>
          </cell>
          <cell r="U1985">
            <v>13830</v>
          </cell>
          <cell r="V1985">
            <v>13830</v>
          </cell>
        </row>
        <row r="1986">
          <cell r="U1986">
            <v>141790</v>
          </cell>
          <cell r="V1986">
            <v>0</v>
          </cell>
        </row>
        <row r="1987">
          <cell r="D1987">
            <v>1</v>
          </cell>
          <cell r="U1987">
            <v>778770</v>
          </cell>
          <cell r="V1987">
            <v>778770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2014</v>
          </cell>
        </row>
        <row r="11">
          <cell r="B11" t="str">
            <v>DR. FRANCISCO MARTINEZ CAVALLA</v>
          </cell>
        </row>
        <row r="12">
          <cell r="A12" t="str">
            <v>Jefe de Estadisticas</v>
          </cell>
          <cell r="B12" t="str">
            <v>SRA. MARIA INES NUÑEZ GONZALEZ</v>
          </cell>
        </row>
      </sheetData>
      <sheetData sheetId="1"/>
      <sheetData sheetId="2">
        <row r="12">
          <cell r="D12">
            <v>59014</v>
          </cell>
        </row>
        <row r="13">
          <cell r="D13">
            <v>23360</v>
          </cell>
        </row>
        <row r="14">
          <cell r="D14">
            <v>24945</v>
          </cell>
        </row>
        <row r="15">
          <cell r="D15">
            <v>981</v>
          </cell>
        </row>
        <row r="16">
          <cell r="D16">
            <v>0</v>
          </cell>
        </row>
        <row r="17">
          <cell r="D17">
            <v>1419</v>
          </cell>
        </row>
        <row r="18">
          <cell r="D18">
            <v>5368</v>
          </cell>
        </row>
        <row r="19">
          <cell r="D19">
            <v>3947</v>
          </cell>
        </row>
        <row r="20">
          <cell r="D20">
            <v>37</v>
          </cell>
        </row>
        <row r="21">
          <cell r="D21">
            <v>1384</v>
          </cell>
        </row>
        <row r="22">
          <cell r="D22">
            <v>0</v>
          </cell>
        </row>
        <row r="23">
          <cell r="D23">
            <v>87</v>
          </cell>
        </row>
        <row r="24">
          <cell r="D24">
            <v>2854</v>
          </cell>
        </row>
        <row r="25">
          <cell r="D25">
            <v>4609</v>
          </cell>
        </row>
        <row r="26">
          <cell r="D26">
            <v>2769</v>
          </cell>
        </row>
        <row r="27">
          <cell r="D27">
            <v>13</v>
          </cell>
        </row>
        <row r="28">
          <cell r="D28">
            <v>741</v>
          </cell>
        </row>
        <row r="30">
          <cell r="D30">
            <v>686</v>
          </cell>
        </row>
        <row r="31">
          <cell r="D31">
            <v>246</v>
          </cell>
        </row>
        <row r="32">
          <cell r="D32">
            <v>154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1</v>
          </cell>
          <cell r="G68">
            <v>0</v>
          </cell>
          <cell r="H68">
            <v>0</v>
          </cell>
        </row>
        <row r="69">
          <cell r="F69">
            <v>172</v>
          </cell>
          <cell r="G69">
            <v>0</v>
          </cell>
          <cell r="H69">
            <v>0</v>
          </cell>
        </row>
        <row r="70">
          <cell r="F70">
            <v>25</v>
          </cell>
          <cell r="G70">
            <v>4</v>
          </cell>
          <cell r="H70">
            <v>0</v>
          </cell>
        </row>
        <row r="71">
          <cell r="F71">
            <v>5</v>
          </cell>
          <cell r="G71">
            <v>1</v>
          </cell>
          <cell r="H71">
            <v>0</v>
          </cell>
        </row>
        <row r="72">
          <cell r="F72">
            <v>62</v>
          </cell>
          <cell r="G72">
            <v>1</v>
          </cell>
          <cell r="H72">
            <v>0</v>
          </cell>
        </row>
        <row r="73">
          <cell r="F73">
            <v>100</v>
          </cell>
          <cell r="G73">
            <v>1</v>
          </cell>
          <cell r="H73">
            <v>0</v>
          </cell>
        </row>
        <row r="74">
          <cell r="F74">
            <v>8</v>
          </cell>
          <cell r="G74">
            <v>2</v>
          </cell>
          <cell r="H74">
            <v>0</v>
          </cell>
        </row>
        <row r="75">
          <cell r="F75">
            <v>4</v>
          </cell>
          <cell r="G75">
            <v>0</v>
          </cell>
          <cell r="H75">
            <v>0</v>
          </cell>
        </row>
        <row r="76">
          <cell r="F76">
            <v>126</v>
          </cell>
          <cell r="G76">
            <v>16</v>
          </cell>
          <cell r="H76">
            <v>0</v>
          </cell>
        </row>
        <row r="77">
          <cell r="F77">
            <v>6</v>
          </cell>
          <cell r="G77">
            <v>0</v>
          </cell>
          <cell r="H77">
            <v>0</v>
          </cell>
        </row>
        <row r="78">
          <cell r="F78">
            <v>30</v>
          </cell>
          <cell r="G78">
            <v>0</v>
          </cell>
          <cell r="H78">
            <v>0</v>
          </cell>
        </row>
        <row r="79">
          <cell r="F79">
            <v>7</v>
          </cell>
          <cell r="G79">
            <v>1</v>
          </cell>
          <cell r="H79">
            <v>0</v>
          </cell>
        </row>
        <row r="80">
          <cell r="F80">
            <v>46</v>
          </cell>
          <cell r="G80">
            <v>9</v>
          </cell>
          <cell r="H80">
            <v>0</v>
          </cell>
        </row>
        <row r="81">
          <cell r="F81">
            <v>57</v>
          </cell>
          <cell r="G81">
            <v>0</v>
          </cell>
          <cell r="H81">
            <v>0</v>
          </cell>
        </row>
        <row r="82">
          <cell r="F82">
            <v>46</v>
          </cell>
          <cell r="G82">
            <v>2</v>
          </cell>
          <cell r="H82">
            <v>0</v>
          </cell>
        </row>
        <row r="130">
          <cell r="E130">
            <v>1324</v>
          </cell>
        </row>
      </sheetData>
      <sheetData sheetId="3">
        <row r="13">
          <cell r="U13">
            <v>4170</v>
          </cell>
          <cell r="V13">
            <v>0</v>
          </cell>
        </row>
        <row r="14">
          <cell r="U14">
            <v>5240</v>
          </cell>
          <cell r="V14">
            <v>0</v>
          </cell>
        </row>
        <row r="15">
          <cell r="D15">
            <v>6246</v>
          </cell>
          <cell r="U15">
            <v>11250</v>
          </cell>
          <cell r="V15">
            <v>70267500</v>
          </cell>
        </row>
        <row r="16">
          <cell r="U16">
            <v>6720</v>
          </cell>
          <cell r="V16">
            <v>0</v>
          </cell>
        </row>
        <row r="17">
          <cell r="U17">
            <v>7370</v>
          </cell>
          <cell r="V17">
            <v>0</v>
          </cell>
        </row>
        <row r="18">
          <cell r="U18">
            <v>14110</v>
          </cell>
          <cell r="V18">
            <v>0</v>
          </cell>
        </row>
        <row r="19">
          <cell r="D19">
            <v>49</v>
          </cell>
          <cell r="U19">
            <v>14110</v>
          </cell>
          <cell r="V19">
            <v>691390</v>
          </cell>
        </row>
        <row r="20">
          <cell r="U20">
            <v>5690</v>
          </cell>
          <cell r="V20">
            <v>0</v>
          </cell>
        </row>
        <row r="21">
          <cell r="U21">
            <v>6820</v>
          </cell>
          <cell r="V21">
            <v>0</v>
          </cell>
        </row>
        <row r="22">
          <cell r="U22">
            <v>8460</v>
          </cell>
          <cell r="V22">
            <v>0</v>
          </cell>
        </row>
        <row r="23">
          <cell r="D23">
            <v>2143</v>
          </cell>
          <cell r="U23">
            <v>5690</v>
          </cell>
          <cell r="V23">
            <v>12193670</v>
          </cell>
        </row>
        <row r="24">
          <cell r="D24">
            <v>1399</v>
          </cell>
          <cell r="U24">
            <v>6820</v>
          </cell>
          <cell r="V24">
            <v>9541180</v>
          </cell>
        </row>
        <row r="25">
          <cell r="D25">
            <v>2368</v>
          </cell>
          <cell r="U25">
            <v>8460</v>
          </cell>
          <cell r="V25">
            <v>20033280</v>
          </cell>
        </row>
        <row r="27">
          <cell r="D27">
            <v>1770</v>
          </cell>
          <cell r="U27">
            <v>1110</v>
          </cell>
          <cell r="V27">
            <v>1964700</v>
          </cell>
        </row>
        <row r="28">
          <cell r="U28">
            <v>1900</v>
          </cell>
          <cell r="V28">
            <v>0</v>
          </cell>
        </row>
        <row r="29">
          <cell r="U29">
            <v>610</v>
          </cell>
          <cell r="V29">
            <v>0</v>
          </cell>
        </row>
        <row r="30">
          <cell r="D30">
            <v>151</v>
          </cell>
          <cell r="U30">
            <v>1500</v>
          </cell>
          <cell r="V30">
            <v>226500</v>
          </cell>
        </row>
        <row r="31">
          <cell r="D31">
            <v>813</v>
          </cell>
          <cell r="U31">
            <v>1210</v>
          </cell>
          <cell r="V31">
            <v>983730</v>
          </cell>
        </row>
        <row r="32">
          <cell r="U32">
            <v>1110</v>
          </cell>
          <cell r="V32">
            <v>0</v>
          </cell>
        </row>
        <row r="34">
          <cell r="U34">
            <v>3640</v>
          </cell>
          <cell r="V34">
            <v>0</v>
          </cell>
        </row>
        <row r="35">
          <cell r="D35">
            <v>678</v>
          </cell>
          <cell r="U35">
            <v>2000</v>
          </cell>
          <cell r="V35">
            <v>1356000</v>
          </cell>
        </row>
        <row r="36">
          <cell r="D36">
            <v>2</v>
          </cell>
          <cell r="U36">
            <v>2000</v>
          </cell>
          <cell r="V36">
            <v>4000</v>
          </cell>
        </row>
        <row r="37">
          <cell r="D37">
            <v>717</v>
          </cell>
          <cell r="U37">
            <v>610</v>
          </cell>
          <cell r="V37">
            <v>437370</v>
          </cell>
        </row>
        <row r="39">
          <cell r="D39">
            <v>10</v>
          </cell>
          <cell r="U39">
            <v>1730</v>
          </cell>
          <cell r="V39">
            <v>17300</v>
          </cell>
        </row>
        <row r="40">
          <cell r="D40">
            <v>26</v>
          </cell>
          <cell r="U40">
            <v>1730</v>
          </cell>
          <cell r="V40">
            <v>44980</v>
          </cell>
        </row>
        <row r="41">
          <cell r="U41">
            <v>1000</v>
          </cell>
          <cell r="V41">
            <v>0</v>
          </cell>
        </row>
        <row r="43">
          <cell r="D43">
            <v>263</v>
          </cell>
          <cell r="U43">
            <v>760</v>
          </cell>
          <cell r="V43">
            <v>199880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1350</v>
          </cell>
          <cell r="V47">
            <v>0</v>
          </cell>
        </row>
        <row r="48">
          <cell r="D48">
            <v>509</v>
          </cell>
          <cell r="U48">
            <v>660</v>
          </cell>
          <cell r="V48">
            <v>335940</v>
          </cell>
        </row>
        <row r="49">
          <cell r="D49">
            <v>513</v>
          </cell>
          <cell r="U49">
            <v>2000</v>
          </cell>
          <cell r="V49">
            <v>1026000</v>
          </cell>
        </row>
        <row r="50">
          <cell r="D50">
            <v>55</v>
          </cell>
          <cell r="U50">
            <v>15030</v>
          </cell>
          <cell r="V50">
            <v>826650</v>
          </cell>
        </row>
        <row r="51">
          <cell r="D51">
            <v>106</v>
          </cell>
          <cell r="U51">
            <v>34510</v>
          </cell>
          <cell r="V51">
            <v>3658060</v>
          </cell>
        </row>
        <row r="52">
          <cell r="D52">
            <v>35</v>
          </cell>
          <cell r="V52">
            <v>301350</v>
          </cell>
        </row>
        <row r="59">
          <cell r="D59">
            <v>5312</v>
          </cell>
          <cell r="U59">
            <v>33020</v>
          </cell>
          <cell r="V59">
            <v>175402240</v>
          </cell>
        </row>
        <row r="60">
          <cell r="U60">
            <v>30400</v>
          </cell>
          <cell r="V60">
            <v>0</v>
          </cell>
        </row>
        <row r="61">
          <cell r="U61">
            <v>25340</v>
          </cell>
          <cell r="V61">
            <v>0</v>
          </cell>
        </row>
        <row r="62">
          <cell r="D62">
            <v>249</v>
          </cell>
          <cell r="U62">
            <v>137290</v>
          </cell>
          <cell r="V62">
            <v>34185210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138</v>
          </cell>
          <cell r="U65">
            <v>66300</v>
          </cell>
          <cell r="V65">
            <v>9149400</v>
          </cell>
        </row>
        <row r="66">
          <cell r="D66">
            <v>150</v>
          </cell>
          <cell r="V66">
            <v>9945000</v>
          </cell>
        </row>
        <row r="67">
          <cell r="V67">
            <v>0</v>
          </cell>
        </row>
        <row r="68">
          <cell r="D68">
            <v>181</v>
          </cell>
          <cell r="U68">
            <v>59490</v>
          </cell>
          <cell r="V68">
            <v>10767690</v>
          </cell>
        </row>
        <row r="69">
          <cell r="U69">
            <v>16880</v>
          </cell>
          <cell r="V69">
            <v>0</v>
          </cell>
        </row>
        <row r="70">
          <cell r="U70">
            <v>26450</v>
          </cell>
          <cell r="V70">
            <v>0</v>
          </cell>
        </row>
        <row r="71">
          <cell r="U71">
            <v>27530</v>
          </cell>
          <cell r="V71">
            <v>0</v>
          </cell>
        </row>
        <row r="72">
          <cell r="U72">
            <v>11100</v>
          </cell>
          <cell r="V72">
            <v>0</v>
          </cell>
        </row>
        <row r="73">
          <cell r="U73">
            <v>26670</v>
          </cell>
          <cell r="V73">
            <v>0</v>
          </cell>
        </row>
        <row r="74">
          <cell r="U74">
            <v>11100</v>
          </cell>
          <cell r="V74">
            <v>0</v>
          </cell>
        </row>
        <row r="75">
          <cell r="U75">
            <v>4890</v>
          </cell>
          <cell r="V75">
            <v>0</v>
          </cell>
        </row>
        <row r="76">
          <cell r="U76">
            <v>33020</v>
          </cell>
          <cell r="V76">
            <v>0</v>
          </cell>
        </row>
        <row r="77">
          <cell r="U77">
            <v>89270</v>
          </cell>
          <cell r="V77">
            <v>0</v>
          </cell>
        </row>
        <row r="78">
          <cell r="U78">
            <v>10540</v>
          </cell>
          <cell r="V78">
            <v>0</v>
          </cell>
        </row>
        <row r="79">
          <cell r="D79">
            <v>25</v>
          </cell>
          <cell r="U79">
            <v>6410</v>
          </cell>
          <cell r="V79">
            <v>160250</v>
          </cell>
        </row>
        <row r="80">
          <cell r="U80">
            <v>46280</v>
          </cell>
          <cell r="V80">
            <v>0</v>
          </cell>
        </row>
        <row r="81">
          <cell r="U81">
            <v>8120</v>
          </cell>
          <cell r="V81">
            <v>0</v>
          </cell>
        </row>
        <row r="83">
          <cell r="V83">
            <v>23351730</v>
          </cell>
        </row>
        <row r="174">
          <cell r="V174">
            <v>29798910</v>
          </cell>
        </row>
        <row r="243">
          <cell r="V243">
            <v>3441750</v>
          </cell>
        </row>
        <row r="289">
          <cell r="V289">
            <v>0</v>
          </cell>
        </row>
        <row r="295">
          <cell r="V295">
            <v>6671410</v>
          </cell>
        </row>
        <row r="362">
          <cell r="V362">
            <v>8888730</v>
          </cell>
        </row>
        <row r="405">
          <cell r="V405">
            <v>95790</v>
          </cell>
        </row>
        <row r="428">
          <cell r="V428">
            <v>5524410</v>
          </cell>
        </row>
        <row r="446">
          <cell r="V446">
            <v>0</v>
          </cell>
        </row>
        <row r="456">
          <cell r="V456">
            <v>147260</v>
          </cell>
        </row>
        <row r="500">
          <cell r="V500">
            <v>3575550</v>
          </cell>
        </row>
        <row r="535">
          <cell r="V535">
            <v>22097990</v>
          </cell>
        </row>
        <row r="590">
          <cell r="V590">
            <v>353700</v>
          </cell>
        </row>
        <row r="615">
          <cell r="V615">
            <v>38064330</v>
          </cell>
        </row>
        <row r="633">
          <cell r="V633">
            <v>13325560</v>
          </cell>
        </row>
        <row r="634">
          <cell r="V634">
            <v>1252140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631</v>
          </cell>
          <cell r="V768">
            <v>4353600</v>
          </cell>
        </row>
        <row r="783">
          <cell r="V783">
            <v>0</v>
          </cell>
        </row>
        <row r="795">
          <cell r="D795">
            <v>223</v>
          </cell>
          <cell r="U795">
            <v>6900</v>
          </cell>
          <cell r="V795">
            <v>1538700</v>
          </cell>
        </row>
        <row r="796">
          <cell r="D796">
            <v>290</v>
          </cell>
          <cell r="U796">
            <v>2700</v>
          </cell>
          <cell r="V796">
            <v>783000</v>
          </cell>
        </row>
        <row r="797">
          <cell r="D797">
            <v>533</v>
          </cell>
          <cell r="U797">
            <v>2700</v>
          </cell>
          <cell r="V797">
            <v>1439100</v>
          </cell>
        </row>
        <row r="798">
          <cell r="D798">
            <v>3</v>
          </cell>
          <cell r="U798">
            <v>10760</v>
          </cell>
          <cell r="V798">
            <v>32280</v>
          </cell>
        </row>
        <row r="799">
          <cell r="D799">
            <v>75</v>
          </cell>
          <cell r="U799">
            <v>12600</v>
          </cell>
          <cell r="V799">
            <v>945000</v>
          </cell>
        </row>
        <row r="800">
          <cell r="U800">
            <v>28580</v>
          </cell>
          <cell r="V800">
            <v>0</v>
          </cell>
        </row>
        <row r="801">
          <cell r="U801">
            <v>3550</v>
          </cell>
          <cell r="V801">
            <v>0</v>
          </cell>
        </row>
        <row r="802">
          <cell r="U802">
            <v>9180</v>
          </cell>
          <cell r="V802">
            <v>0</v>
          </cell>
        </row>
        <row r="805">
          <cell r="D805">
            <v>12</v>
          </cell>
          <cell r="U805">
            <v>14260</v>
          </cell>
          <cell r="V805">
            <v>171120</v>
          </cell>
        </row>
        <row r="806">
          <cell r="U806">
            <v>11400</v>
          </cell>
          <cell r="V806">
            <v>0</v>
          </cell>
        </row>
        <row r="807">
          <cell r="U807">
            <v>386950</v>
          </cell>
          <cell r="V807">
            <v>0</v>
          </cell>
        </row>
        <row r="811">
          <cell r="V811">
            <v>149420</v>
          </cell>
        </row>
        <row r="882">
          <cell r="V882">
            <v>50589220</v>
          </cell>
        </row>
        <row r="961">
          <cell r="V961">
            <v>2740550</v>
          </cell>
        </row>
        <row r="1036">
          <cell r="U1036">
            <v>9120</v>
          </cell>
          <cell r="V1036">
            <v>0</v>
          </cell>
        </row>
        <row r="1037">
          <cell r="V1037">
            <v>665515</v>
          </cell>
        </row>
        <row r="1098">
          <cell r="V1098">
            <v>3695170</v>
          </cell>
        </row>
        <row r="1166">
          <cell r="V1166">
            <v>2300280</v>
          </cell>
        </row>
        <row r="1197">
          <cell r="D1197">
            <v>783</v>
          </cell>
          <cell r="U1197">
            <v>4880</v>
          </cell>
          <cell r="V1197">
            <v>3821040</v>
          </cell>
        </row>
        <row r="1198">
          <cell r="D1198">
            <v>16</v>
          </cell>
          <cell r="U1198">
            <v>13770</v>
          </cell>
          <cell r="V1198">
            <v>220320</v>
          </cell>
        </row>
        <row r="1199">
          <cell r="D1199">
            <v>43</v>
          </cell>
          <cell r="U1199">
            <v>23350</v>
          </cell>
          <cell r="V1199">
            <v>1004050</v>
          </cell>
        </row>
        <row r="1200">
          <cell r="U1200">
            <v>44580</v>
          </cell>
          <cell r="V1200">
            <v>0</v>
          </cell>
        </row>
        <row r="1201">
          <cell r="D1201">
            <v>155</v>
          </cell>
          <cell r="U1201">
            <v>49690</v>
          </cell>
          <cell r="V1201">
            <v>7701950</v>
          </cell>
        </row>
        <row r="1202">
          <cell r="U1202">
            <v>27870</v>
          </cell>
          <cell r="V1202">
            <v>0</v>
          </cell>
        </row>
        <row r="1203">
          <cell r="U1203">
            <v>215630</v>
          </cell>
          <cell r="V1203">
            <v>0</v>
          </cell>
        </row>
        <row r="1204">
          <cell r="U1204">
            <v>245140</v>
          </cell>
          <cell r="V1204">
            <v>0</v>
          </cell>
        </row>
        <row r="1205">
          <cell r="U1205">
            <v>199900</v>
          </cell>
          <cell r="V1205">
            <v>0</v>
          </cell>
        </row>
        <row r="1206">
          <cell r="U1206">
            <v>256770</v>
          </cell>
          <cell r="V1206">
            <v>0</v>
          </cell>
        </row>
        <row r="1207">
          <cell r="U1207">
            <v>262730</v>
          </cell>
          <cell r="V1207">
            <v>0</v>
          </cell>
        </row>
        <row r="1208">
          <cell r="U1208">
            <v>222180</v>
          </cell>
          <cell r="V1208">
            <v>0</v>
          </cell>
        </row>
        <row r="1209">
          <cell r="U1209">
            <v>237160</v>
          </cell>
          <cell r="V1209">
            <v>0</v>
          </cell>
        </row>
        <row r="1210">
          <cell r="U1210">
            <v>283580</v>
          </cell>
          <cell r="V1210">
            <v>0</v>
          </cell>
        </row>
        <row r="1211">
          <cell r="U1211">
            <v>251470</v>
          </cell>
          <cell r="V1211">
            <v>0</v>
          </cell>
        </row>
        <row r="1212">
          <cell r="U1212">
            <v>1840310</v>
          </cell>
          <cell r="V1212">
            <v>0</v>
          </cell>
        </row>
        <row r="1213">
          <cell r="U1213">
            <v>1149460</v>
          </cell>
          <cell r="V1213">
            <v>0</v>
          </cell>
        </row>
        <row r="1214">
          <cell r="U1214">
            <v>1112540</v>
          </cell>
          <cell r="V1214">
            <v>0</v>
          </cell>
        </row>
        <row r="1215">
          <cell r="U1215">
            <v>1165530</v>
          </cell>
          <cell r="V1215">
            <v>0</v>
          </cell>
        </row>
        <row r="1216">
          <cell r="U1216">
            <v>164930</v>
          </cell>
          <cell r="V1216">
            <v>0</v>
          </cell>
        </row>
        <row r="1217">
          <cell r="U1217">
            <v>376370</v>
          </cell>
          <cell r="V1217">
            <v>0</v>
          </cell>
        </row>
        <row r="1218">
          <cell r="U1218">
            <v>139530</v>
          </cell>
          <cell r="V1218">
            <v>0</v>
          </cell>
        </row>
        <row r="1219">
          <cell r="U1219">
            <v>1130520</v>
          </cell>
          <cell r="V1219">
            <v>0</v>
          </cell>
        </row>
        <row r="1220">
          <cell r="U1220">
            <v>1130520</v>
          </cell>
          <cell r="V1220">
            <v>0</v>
          </cell>
        </row>
        <row r="1221">
          <cell r="V1221">
            <v>1274300</v>
          </cell>
        </row>
        <row r="1287">
          <cell r="V1287">
            <v>210440</v>
          </cell>
        </row>
        <row r="1354">
          <cell r="D1354">
            <v>64</v>
          </cell>
          <cell r="U1354">
            <v>33720</v>
          </cell>
          <cell r="V1354">
            <v>2158080</v>
          </cell>
        </row>
        <row r="1355">
          <cell r="U1355">
            <v>40670</v>
          </cell>
          <cell r="V1355">
            <v>0</v>
          </cell>
        </row>
        <row r="1356">
          <cell r="D1356">
            <v>15</v>
          </cell>
          <cell r="U1356">
            <v>43320</v>
          </cell>
          <cell r="V1356">
            <v>649800</v>
          </cell>
        </row>
        <row r="1357">
          <cell r="V1357">
            <v>32501830</v>
          </cell>
        </row>
        <row r="1441">
          <cell r="V1441">
            <v>560090</v>
          </cell>
        </row>
        <row r="1481">
          <cell r="U1481">
            <v>41580</v>
          </cell>
          <cell r="V1481">
            <v>0</v>
          </cell>
        </row>
        <row r="1482">
          <cell r="U1482">
            <v>26150</v>
          </cell>
          <cell r="V1482">
            <v>0</v>
          </cell>
        </row>
        <row r="1483">
          <cell r="U1483">
            <v>26930</v>
          </cell>
          <cell r="V1483">
            <v>0</v>
          </cell>
        </row>
        <row r="1484">
          <cell r="U1484">
            <v>808040</v>
          </cell>
          <cell r="V1484">
            <v>0</v>
          </cell>
        </row>
        <row r="1485">
          <cell r="U1485">
            <v>367020</v>
          </cell>
          <cell r="V1485">
            <v>0</v>
          </cell>
        </row>
        <row r="1486">
          <cell r="U1486">
            <v>561210</v>
          </cell>
          <cell r="V1486">
            <v>0</v>
          </cell>
        </row>
        <row r="1487">
          <cell r="U1487">
            <v>50600</v>
          </cell>
          <cell r="V1487">
            <v>0</v>
          </cell>
        </row>
        <row r="1488">
          <cell r="U1488">
            <v>657830</v>
          </cell>
          <cell r="V1488">
            <v>0</v>
          </cell>
        </row>
        <row r="1489">
          <cell r="V1489">
            <v>5304880</v>
          </cell>
        </row>
        <row r="1574">
          <cell r="V1574">
            <v>11222060</v>
          </cell>
        </row>
        <row r="1592">
          <cell r="V1592">
            <v>1858905</v>
          </cell>
        </row>
        <row r="1597">
          <cell r="V1597">
            <v>8276250</v>
          </cell>
        </row>
        <row r="1631">
          <cell r="V1631">
            <v>6850500</v>
          </cell>
        </row>
        <row r="1632">
          <cell r="D1632">
            <v>1</v>
          </cell>
          <cell r="V1632">
            <v>101500</v>
          </cell>
        </row>
        <row r="1633">
          <cell r="D1633">
            <v>15</v>
          </cell>
          <cell r="V1633">
            <v>1462050</v>
          </cell>
        </row>
        <row r="1634">
          <cell r="D1634">
            <v>41</v>
          </cell>
          <cell r="V1634">
            <v>5286950</v>
          </cell>
        </row>
        <row r="1635">
          <cell r="V1635">
            <v>0</v>
          </cell>
        </row>
        <row r="1636">
          <cell r="D1636">
            <v>74</v>
          </cell>
          <cell r="U1636">
            <v>128940</v>
          </cell>
          <cell r="V1636">
            <v>9541560</v>
          </cell>
        </row>
        <row r="1637">
          <cell r="D1637">
            <v>1</v>
          </cell>
          <cell r="U1637">
            <v>135670</v>
          </cell>
          <cell r="V1637">
            <v>135670</v>
          </cell>
        </row>
        <row r="1639">
          <cell r="V1639">
            <v>9353570</v>
          </cell>
        </row>
        <row r="1845">
          <cell r="D1845">
            <v>6</v>
          </cell>
          <cell r="F1845">
            <v>0</v>
          </cell>
          <cell r="G1845">
            <v>0</v>
          </cell>
          <cell r="V1845">
            <v>431080</v>
          </cell>
        </row>
        <row r="1849">
          <cell r="D1849">
            <v>20</v>
          </cell>
          <cell r="V1849">
            <v>1319140</v>
          </cell>
        </row>
        <row r="1861">
          <cell r="D1861">
            <v>47</v>
          </cell>
          <cell r="U1861">
            <v>27970</v>
          </cell>
          <cell r="V1861">
            <v>1314590</v>
          </cell>
        </row>
        <row r="1863">
          <cell r="D1863">
            <v>209</v>
          </cell>
          <cell r="U1863">
            <v>18430</v>
          </cell>
          <cell r="V1863">
            <v>3851870</v>
          </cell>
        </row>
        <row r="1864">
          <cell r="D1864">
            <v>171</v>
          </cell>
          <cell r="U1864">
            <v>57970</v>
          </cell>
          <cell r="V1864">
            <v>9912870</v>
          </cell>
        </row>
        <row r="1865">
          <cell r="U1865">
            <v>71860</v>
          </cell>
          <cell r="V1865">
            <v>0</v>
          </cell>
        </row>
        <row r="1866">
          <cell r="D1866">
            <v>161</v>
          </cell>
          <cell r="U1866">
            <v>2520</v>
          </cell>
          <cell r="V1866">
            <v>405720</v>
          </cell>
        </row>
        <row r="1867">
          <cell r="U1867">
            <v>70</v>
          </cell>
          <cell r="V1867">
            <v>0</v>
          </cell>
        </row>
        <row r="1868">
          <cell r="U1868">
            <v>152560</v>
          </cell>
          <cell r="V1868">
            <v>0</v>
          </cell>
        </row>
        <row r="1869">
          <cell r="U1869">
            <v>10370</v>
          </cell>
          <cell r="V1869">
            <v>0</v>
          </cell>
        </row>
        <row r="1871">
          <cell r="V1871">
            <v>4380400</v>
          </cell>
        </row>
        <row r="1889">
          <cell r="V1889">
            <v>5534350</v>
          </cell>
        </row>
        <row r="1914">
          <cell r="V1914">
            <v>4304650</v>
          </cell>
        </row>
        <row r="1941">
          <cell r="D1941">
            <v>336</v>
          </cell>
          <cell r="U1941">
            <v>19310</v>
          </cell>
          <cell r="V1941">
            <v>6488160</v>
          </cell>
        </row>
        <row r="1942">
          <cell r="U1942">
            <v>242060</v>
          </cell>
          <cell r="V1942">
            <v>0</v>
          </cell>
        </row>
        <row r="1944">
          <cell r="U1944">
            <v>247230</v>
          </cell>
          <cell r="V1944">
            <v>0</v>
          </cell>
        </row>
        <row r="1945">
          <cell r="U1945">
            <v>35130</v>
          </cell>
          <cell r="V1945">
            <v>0</v>
          </cell>
        </row>
        <row r="1946">
          <cell r="U1946">
            <v>132520</v>
          </cell>
          <cell r="V1946">
            <v>0</v>
          </cell>
        </row>
        <row r="1947">
          <cell r="U1947">
            <v>132520</v>
          </cell>
          <cell r="V1947">
            <v>0</v>
          </cell>
        </row>
        <row r="1948">
          <cell r="U1948">
            <v>241260</v>
          </cell>
          <cell r="V1948">
            <v>0</v>
          </cell>
        </row>
        <row r="1949">
          <cell r="U1949">
            <v>370240</v>
          </cell>
          <cell r="V1949">
            <v>0</v>
          </cell>
        </row>
        <row r="1950">
          <cell r="U1950">
            <v>631610</v>
          </cell>
          <cell r="V1950">
            <v>0</v>
          </cell>
        </row>
        <row r="1951">
          <cell r="U1951">
            <v>131550</v>
          </cell>
          <cell r="V1951">
            <v>0</v>
          </cell>
        </row>
        <row r="1952">
          <cell r="U1952">
            <v>354560</v>
          </cell>
          <cell r="V1952">
            <v>0</v>
          </cell>
        </row>
        <row r="1953">
          <cell r="U1953">
            <v>149290</v>
          </cell>
          <cell r="V1953">
            <v>0</v>
          </cell>
        </row>
        <row r="1954">
          <cell r="U1954">
            <v>129730</v>
          </cell>
          <cell r="V1954">
            <v>0</v>
          </cell>
        </row>
        <row r="1955">
          <cell r="U1955">
            <v>197230</v>
          </cell>
          <cell r="V1955">
            <v>0</v>
          </cell>
        </row>
        <row r="1956">
          <cell r="U1956">
            <v>51900</v>
          </cell>
          <cell r="V1956">
            <v>0</v>
          </cell>
        </row>
        <row r="1957">
          <cell r="U1957">
            <v>38790</v>
          </cell>
          <cell r="V1957">
            <v>0</v>
          </cell>
        </row>
        <row r="1958">
          <cell r="U1958">
            <v>212700</v>
          </cell>
          <cell r="V1958">
            <v>0</v>
          </cell>
        </row>
        <row r="1959">
          <cell r="U1959">
            <v>1265290</v>
          </cell>
          <cell r="V1959">
            <v>0</v>
          </cell>
        </row>
        <row r="1960">
          <cell r="U1960">
            <v>190900</v>
          </cell>
          <cell r="V1960">
            <v>0</v>
          </cell>
        </row>
        <row r="1961">
          <cell r="U1961">
            <v>168820</v>
          </cell>
          <cell r="V1961">
            <v>0</v>
          </cell>
        </row>
        <row r="1962">
          <cell r="U1962">
            <v>342700</v>
          </cell>
          <cell r="V1962">
            <v>0</v>
          </cell>
        </row>
        <row r="1963">
          <cell r="U1963">
            <v>1139590</v>
          </cell>
          <cell r="V1963">
            <v>0</v>
          </cell>
        </row>
        <row r="1964">
          <cell r="U1964">
            <v>1171120</v>
          </cell>
          <cell r="V1964">
            <v>0</v>
          </cell>
        </row>
        <row r="1965">
          <cell r="U1965">
            <v>927270</v>
          </cell>
          <cell r="V1965">
            <v>0</v>
          </cell>
        </row>
        <row r="1966">
          <cell r="U1966">
            <v>977250</v>
          </cell>
          <cell r="V1966">
            <v>0</v>
          </cell>
        </row>
        <row r="1967">
          <cell r="U1967">
            <v>385520</v>
          </cell>
          <cell r="V1967">
            <v>0</v>
          </cell>
        </row>
        <row r="1968">
          <cell r="U1968">
            <v>92330</v>
          </cell>
          <cell r="V1968">
            <v>0</v>
          </cell>
        </row>
        <row r="1969">
          <cell r="U1969">
            <v>275450</v>
          </cell>
          <cell r="V1969">
            <v>0</v>
          </cell>
        </row>
        <row r="1970">
          <cell r="U1970">
            <v>77880</v>
          </cell>
          <cell r="V1970">
            <v>0</v>
          </cell>
        </row>
        <row r="1971">
          <cell r="U1971">
            <v>1338250</v>
          </cell>
          <cell r="V1971">
            <v>0</v>
          </cell>
        </row>
        <row r="1972">
          <cell r="U1972">
            <v>312910</v>
          </cell>
          <cell r="V1972">
            <v>0</v>
          </cell>
        </row>
        <row r="1973">
          <cell r="U1973">
            <v>1048270</v>
          </cell>
          <cell r="V1973">
            <v>0</v>
          </cell>
        </row>
        <row r="1974">
          <cell r="U1974">
            <v>641750</v>
          </cell>
          <cell r="V1974">
            <v>0</v>
          </cell>
        </row>
        <row r="1975">
          <cell r="U1975">
            <v>523710</v>
          </cell>
          <cell r="V1975">
            <v>0</v>
          </cell>
        </row>
        <row r="1976">
          <cell r="U1976">
            <v>282310</v>
          </cell>
          <cell r="V1976">
            <v>0</v>
          </cell>
        </row>
        <row r="1977">
          <cell r="U1977">
            <v>164590</v>
          </cell>
          <cell r="V1977">
            <v>0</v>
          </cell>
        </row>
        <row r="1978">
          <cell r="U1978">
            <v>397700</v>
          </cell>
          <cell r="V1978">
            <v>0</v>
          </cell>
        </row>
        <row r="1979">
          <cell r="U1979">
            <v>412140</v>
          </cell>
          <cell r="V1979">
            <v>0</v>
          </cell>
        </row>
        <row r="1980">
          <cell r="U1980">
            <v>257530</v>
          </cell>
          <cell r="V1980">
            <v>0</v>
          </cell>
        </row>
        <row r="1981">
          <cell r="D1981">
            <v>109</v>
          </cell>
          <cell r="U1981">
            <v>35020</v>
          </cell>
          <cell r="V1981">
            <v>3817180</v>
          </cell>
        </row>
        <row r="1983">
          <cell r="D1983">
            <v>4</v>
          </cell>
          <cell r="U1983">
            <v>6890</v>
          </cell>
          <cell r="V1983">
            <v>27560</v>
          </cell>
        </row>
        <row r="1984">
          <cell r="U1984">
            <v>3670</v>
          </cell>
          <cell r="V1984">
            <v>0</v>
          </cell>
        </row>
        <row r="1985">
          <cell r="D1985">
            <v>1</v>
          </cell>
          <cell r="U1985">
            <v>13830</v>
          </cell>
          <cell r="V1985">
            <v>13830</v>
          </cell>
        </row>
        <row r="1986">
          <cell r="U1986">
            <v>141790</v>
          </cell>
          <cell r="V1986">
            <v>0</v>
          </cell>
        </row>
        <row r="1987">
          <cell r="D1987">
            <v>1</v>
          </cell>
          <cell r="U1987">
            <v>778770</v>
          </cell>
          <cell r="V1987">
            <v>778770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6"/>
  <sheetViews>
    <sheetView topLeftCell="A296" zoomScale="75" zoomScaleNormal="75" workbookViewId="0">
      <selection activeCell="C328" sqref="C328"/>
    </sheetView>
  </sheetViews>
  <sheetFormatPr baseColWidth="10" defaultRowHeight="18" x14ac:dyDescent="0.25"/>
  <cols>
    <col min="1" max="1" width="20.28515625" style="225" customWidth="1"/>
    <col min="2" max="2" width="101.85546875" style="225" customWidth="1"/>
    <col min="3" max="3" width="27.5703125" style="225" bestFit="1" customWidth="1"/>
    <col min="4" max="4" width="39.7109375" style="225" customWidth="1"/>
    <col min="5" max="5" width="33.42578125" style="225" customWidth="1"/>
    <col min="6" max="6" width="3.85546875" style="226" hidden="1" customWidth="1"/>
    <col min="7" max="7" width="31.7109375" style="511" hidden="1" customWidth="1"/>
    <col min="8" max="8" width="24.5703125" style="511" hidden="1" customWidth="1"/>
    <col min="9" max="9" width="40.85546875" style="511" hidden="1" customWidth="1"/>
    <col min="10" max="10" width="24" style="515" hidden="1" customWidth="1"/>
    <col min="11" max="15" width="0" style="225" hidden="1" customWidth="1"/>
    <col min="16" max="18" width="11.42578125" style="225"/>
    <col min="19" max="19" width="45.7109375" style="511" customWidth="1"/>
    <col min="20" max="20" width="11.42578125" style="225"/>
    <col min="21" max="21" width="22.85546875" style="225" customWidth="1"/>
    <col min="22" max="256" width="11.42578125" style="225"/>
    <col min="257" max="257" width="20.28515625" style="225" customWidth="1"/>
    <col min="258" max="258" width="83.140625" style="225" customWidth="1"/>
    <col min="259" max="261" width="21.42578125" style="225" customWidth="1"/>
    <col min="262" max="262" width="19.5703125" style="225" customWidth="1"/>
    <col min="263" max="263" width="2.42578125" style="225" customWidth="1"/>
    <col min="264" max="265" width="5.140625" style="225" customWidth="1"/>
    <col min="266" max="512" width="11.42578125" style="225"/>
    <col min="513" max="513" width="20.28515625" style="225" customWidth="1"/>
    <col min="514" max="514" width="83.140625" style="225" customWidth="1"/>
    <col min="515" max="517" width="21.42578125" style="225" customWidth="1"/>
    <col min="518" max="518" width="19.5703125" style="225" customWidth="1"/>
    <col min="519" max="519" width="2.42578125" style="225" customWidth="1"/>
    <col min="520" max="521" width="5.140625" style="225" customWidth="1"/>
    <col min="522" max="768" width="11.42578125" style="225"/>
    <col min="769" max="769" width="20.28515625" style="225" customWidth="1"/>
    <col min="770" max="770" width="83.140625" style="225" customWidth="1"/>
    <col min="771" max="773" width="21.42578125" style="225" customWidth="1"/>
    <col min="774" max="774" width="19.5703125" style="225" customWidth="1"/>
    <col min="775" max="775" width="2.42578125" style="225" customWidth="1"/>
    <col min="776" max="777" width="5.140625" style="225" customWidth="1"/>
    <col min="778" max="1024" width="11.42578125" style="225"/>
    <col min="1025" max="1025" width="20.28515625" style="225" customWidth="1"/>
    <col min="1026" max="1026" width="83.140625" style="225" customWidth="1"/>
    <col min="1027" max="1029" width="21.42578125" style="225" customWidth="1"/>
    <col min="1030" max="1030" width="19.5703125" style="225" customWidth="1"/>
    <col min="1031" max="1031" width="2.42578125" style="225" customWidth="1"/>
    <col min="1032" max="1033" width="5.140625" style="225" customWidth="1"/>
    <col min="1034" max="1280" width="11.42578125" style="225"/>
    <col min="1281" max="1281" width="20.28515625" style="225" customWidth="1"/>
    <col min="1282" max="1282" width="83.140625" style="225" customWidth="1"/>
    <col min="1283" max="1285" width="21.42578125" style="225" customWidth="1"/>
    <col min="1286" max="1286" width="19.5703125" style="225" customWidth="1"/>
    <col min="1287" max="1287" width="2.42578125" style="225" customWidth="1"/>
    <col min="1288" max="1289" width="5.140625" style="225" customWidth="1"/>
    <col min="1290" max="1536" width="11.42578125" style="225"/>
    <col min="1537" max="1537" width="20.28515625" style="225" customWidth="1"/>
    <col min="1538" max="1538" width="83.140625" style="225" customWidth="1"/>
    <col min="1539" max="1541" width="21.42578125" style="225" customWidth="1"/>
    <col min="1542" max="1542" width="19.5703125" style="225" customWidth="1"/>
    <col min="1543" max="1543" width="2.42578125" style="225" customWidth="1"/>
    <col min="1544" max="1545" width="5.140625" style="225" customWidth="1"/>
    <col min="1546" max="1792" width="11.42578125" style="225"/>
    <col min="1793" max="1793" width="20.28515625" style="225" customWidth="1"/>
    <col min="1794" max="1794" width="83.140625" style="225" customWidth="1"/>
    <col min="1795" max="1797" width="21.42578125" style="225" customWidth="1"/>
    <col min="1798" max="1798" width="19.5703125" style="225" customWidth="1"/>
    <col min="1799" max="1799" width="2.42578125" style="225" customWidth="1"/>
    <col min="1800" max="1801" width="5.140625" style="225" customWidth="1"/>
    <col min="1802" max="2048" width="11.42578125" style="225"/>
    <col min="2049" max="2049" width="20.28515625" style="225" customWidth="1"/>
    <col min="2050" max="2050" width="83.140625" style="225" customWidth="1"/>
    <col min="2051" max="2053" width="21.42578125" style="225" customWidth="1"/>
    <col min="2054" max="2054" width="19.5703125" style="225" customWidth="1"/>
    <col min="2055" max="2055" width="2.42578125" style="225" customWidth="1"/>
    <col min="2056" max="2057" width="5.140625" style="225" customWidth="1"/>
    <col min="2058" max="2304" width="11.42578125" style="225"/>
    <col min="2305" max="2305" width="20.28515625" style="225" customWidth="1"/>
    <col min="2306" max="2306" width="83.140625" style="225" customWidth="1"/>
    <col min="2307" max="2309" width="21.42578125" style="225" customWidth="1"/>
    <col min="2310" max="2310" width="19.5703125" style="225" customWidth="1"/>
    <col min="2311" max="2311" width="2.42578125" style="225" customWidth="1"/>
    <col min="2312" max="2313" width="5.140625" style="225" customWidth="1"/>
    <col min="2314" max="2560" width="11.42578125" style="225"/>
    <col min="2561" max="2561" width="20.28515625" style="225" customWidth="1"/>
    <col min="2562" max="2562" width="83.140625" style="225" customWidth="1"/>
    <col min="2563" max="2565" width="21.42578125" style="225" customWidth="1"/>
    <col min="2566" max="2566" width="19.5703125" style="225" customWidth="1"/>
    <col min="2567" max="2567" width="2.42578125" style="225" customWidth="1"/>
    <col min="2568" max="2569" width="5.140625" style="225" customWidth="1"/>
    <col min="2570" max="2816" width="11.42578125" style="225"/>
    <col min="2817" max="2817" width="20.28515625" style="225" customWidth="1"/>
    <col min="2818" max="2818" width="83.140625" style="225" customWidth="1"/>
    <col min="2819" max="2821" width="21.42578125" style="225" customWidth="1"/>
    <col min="2822" max="2822" width="19.5703125" style="225" customWidth="1"/>
    <col min="2823" max="2823" width="2.42578125" style="225" customWidth="1"/>
    <col min="2824" max="2825" width="5.140625" style="225" customWidth="1"/>
    <col min="2826" max="3072" width="11.42578125" style="225"/>
    <col min="3073" max="3073" width="20.28515625" style="225" customWidth="1"/>
    <col min="3074" max="3074" width="83.140625" style="225" customWidth="1"/>
    <col min="3075" max="3077" width="21.42578125" style="225" customWidth="1"/>
    <col min="3078" max="3078" width="19.5703125" style="225" customWidth="1"/>
    <col min="3079" max="3079" width="2.42578125" style="225" customWidth="1"/>
    <col min="3080" max="3081" width="5.140625" style="225" customWidth="1"/>
    <col min="3082" max="3328" width="11.42578125" style="225"/>
    <col min="3329" max="3329" width="20.28515625" style="225" customWidth="1"/>
    <col min="3330" max="3330" width="83.140625" style="225" customWidth="1"/>
    <col min="3331" max="3333" width="21.42578125" style="225" customWidth="1"/>
    <col min="3334" max="3334" width="19.5703125" style="225" customWidth="1"/>
    <col min="3335" max="3335" width="2.42578125" style="225" customWidth="1"/>
    <col min="3336" max="3337" width="5.140625" style="225" customWidth="1"/>
    <col min="3338" max="3584" width="11.42578125" style="225"/>
    <col min="3585" max="3585" width="20.28515625" style="225" customWidth="1"/>
    <col min="3586" max="3586" width="83.140625" style="225" customWidth="1"/>
    <col min="3587" max="3589" width="21.42578125" style="225" customWidth="1"/>
    <col min="3590" max="3590" width="19.5703125" style="225" customWidth="1"/>
    <col min="3591" max="3591" width="2.42578125" style="225" customWidth="1"/>
    <col min="3592" max="3593" width="5.140625" style="225" customWidth="1"/>
    <col min="3594" max="3840" width="11.42578125" style="225"/>
    <col min="3841" max="3841" width="20.28515625" style="225" customWidth="1"/>
    <col min="3842" max="3842" width="83.140625" style="225" customWidth="1"/>
    <col min="3843" max="3845" width="21.42578125" style="225" customWidth="1"/>
    <col min="3846" max="3846" width="19.5703125" style="225" customWidth="1"/>
    <col min="3847" max="3847" width="2.42578125" style="225" customWidth="1"/>
    <col min="3848" max="3849" width="5.140625" style="225" customWidth="1"/>
    <col min="3850" max="4096" width="11.42578125" style="225"/>
    <col min="4097" max="4097" width="20.28515625" style="225" customWidth="1"/>
    <col min="4098" max="4098" width="83.140625" style="225" customWidth="1"/>
    <col min="4099" max="4101" width="21.42578125" style="225" customWidth="1"/>
    <col min="4102" max="4102" width="19.5703125" style="225" customWidth="1"/>
    <col min="4103" max="4103" width="2.42578125" style="225" customWidth="1"/>
    <col min="4104" max="4105" width="5.140625" style="225" customWidth="1"/>
    <col min="4106" max="4352" width="11.42578125" style="225"/>
    <col min="4353" max="4353" width="20.28515625" style="225" customWidth="1"/>
    <col min="4354" max="4354" width="83.140625" style="225" customWidth="1"/>
    <col min="4355" max="4357" width="21.42578125" style="225" customWidth="1"/>
    <col min="4358" max="4358" width="19.5703125" style="225" customWidth="1"/>
    <col min="4359" max="4359" width="2.42578125" style="225" customWidth="1"/>
    <col min="4360" max="4361" width="5.140625" style="225" customWidth="1"/>
    <col min="4362" max="4608" width="11.42578125" style="225"/>
    <col min="4609" max="4609" width="20.28515625" style="225" customWidth="1"/>
    <col min="4610" max="4610" width="83.140625" style="225" customWidth="1"/>
    <col min="4611" max="4613" width="21.42578125" style="225" customWidth="1"/>
    <col min="4614" max="4614" width="19.5703125" style="225" customWidth="1"/>
    <col min="4615" max="4615" width="2.42578125" style="225" customWidth="1"/>
    <col min="4616" max="4617" width="5.140625" style="225" customWidth="1"/>
    <col min="4618" max="4864" width="11.42578125" style="225"/>
    <col min="4865" max="4865" width="20.28515625" style="225" customWidth="1"/>
    <col min="4866" max="4866" width="83.140625" style="225" customWidth="1"/>
    <col min="4867" max="4869" width="21.42578125" style="225" customWidth="1"/>
    <col min="4870" max="4870" width="19.5703125" style="225" customWidth="1"/>
    <col min="4871" max="4871" width="2.42578125" style="225" customWidth="1"/>
    <col min="4872" max="4873" width="5.140625" style="225" customWidth="1"/>
    <col min="4874" max="5120" width="11.42578125" style="225"/>
    <col min="5121" max="5121" width="20.28515625" style="225" customWidth="1"/>
    <col min="5122" max="5122" width="83.140625" style="225" customWidth="1"/>
    <col min="5123" max="5125" width="21.42578125" style="225" customWidth="1"/>
    <col min="5126" max="5126" width="19.5703125" style="225" customWidth="1"/>
    <col min="5127" max="5127" width="2.42578125" style="225" customWidth="1"/>
    <col min="5128" max="5129" width="5.140625" style="225" customWidth="1"/>
    <col min="5130" max="5376" width="11.42578125" style="225"/>
    <col min="5377" max="5377" width="20.28515625" style="225" customWidth="1"/>
    <col min="5378" max="5378" width="83.140625" style="225" customWidth="1"/>
    <col min="5379" max="5381" width="21.42578125" style="225" customWidth="1"/>
    <col min="5382" max="5382" width="19.5703125" style="225" customWidth="1"/>
    <col min="5383" max="5383" width="2.42578125" style="225" customWidth="1"/>
    <col min="5384" max="5385" width="5.140625" style="225" customWidth="1"/>
    <col min="5386" max="5632" width="11.42578125" style="225"/>
    <col min="5633" max="5633" width="20.28515625" style="225" customWidth="1"/>
    <col min="5634" max="5634" width="83.140625" style="225" customWidth="1"/>
    <col min="5635" max="5637" width="21.42578125" style="225" customWidth="1"/>
    <col min="5638" max="5638" width="19.5703125" style="225" customWidth="1"/>
    <col min="5639" max="5639" width="2.42578125" style="225" customWidth="1"/>
    <col min="5640" max="5641" width="5.140625" style="225" customWidth="1"/>
    <col min="5642" max="5888" width="11.42578125" style="225"/>
    <col min="5889" max="5889" width="20.28515625" style="225" customWidth="1"/>
    <col min="5890" max="5890" width="83.140625" style="225" customWidth="1"/>
    <col min="5891" max="5893" width="21.42578125" style="225" customWidth="1"/>
    <col min="5894" max="5894" width="19.5703125" style="225" customWidth="1"/>
    <col min="5895" max="5895" width="2.42578125" style="225" customWidth="1"/>
    <col min="5896" max="5897" width="5.140625" style="225" customWidth="1"/>
    <col min="5898" max="6144" width="11.42578125" style="225"/>
    <col min="6145" max="6145" width="20.28515625" style="225" customWidth="1"/>
    <col min="6146" max="6146" width="83.140625" style="225" customWidth="1"/>
    <col min="6147" max="6149" width="21.42578125" style="225" customWidth="1"/>
    <col min="6150" max="6150" width="19.5703125" style="225" customWidth="1"/>
    <col min="6151" max="6151" width="2.42578125" style="225" customWidth="1"/>
    <col min="6152" max="6153" width="5.140625" style="225" customWidth="1"/>
    <col min="6154" max="6400" width="11.42578125" style="225"/>
    <col min="6401" max="6401" width="20.28515625" style="225" customWidth="1"/>
    <col min="6402" max="6402" width="83.140625" style="225" customWidth="1"/>
    <col min="6403" max="6405" width="21.42578125" style="225" customWidth="1"/>
    <col min="6406" max="6406" width="19.5703125" style="225" customWidth="1"/>
    <col min="6407" max="6407" width="2.42578125" style="225" customWidth="1"/>
    <col min="6408" max="6409" width="5.140625" style="225" customWidth="1"/>
    <col min="6410" max="6656" width="11.42578125" style="225"/>
    <col min="6657" max="6657" width="20.28515625" style="225" customWidth="1"/>
    <col min="6658" max="6658" width="83.140625" style="225" customWidth="1"/>
    <col min="6659" max="6661" width="21.42578125" style="225" customWidth="1"/>
    <col min="6662" max="6662" width="19.5703125" style="225" customWidth="1"/>
    <col min="6663" max="6663" width="2.42578125" style="225" customWidth="1"/>
    <col min="6664" max="6665" width="5.140625" style="225" customWidth="1"/>
    <col min="6666" max="6912" width="11.42578125" style="225"/>
    <col min="6913" max="6913" width="20.28515625" style="225" customWidth="1"/>
    <col min="6914" max="6914" width="83.140625" style="225" customWidth="1"/>
    <col min="6915" max="6917" width="21.42578125" style="225" customWidth="1"/>
    <col min="6918" max="6918" width="19.5703125" style="225" customWidth="1"/>
    <col min="6919" max="6919" width="2.42578125" style="225" customWidth="1"/>
    <col min="6920" max="6921" width="5.140625" style="225" customWidth="1"/>
    <col min="6922" max="7168" width="11.42578125" style="225"/>
    <col min="7169" max="7169" width="20.28515625" style="225" customWidth="1"/>
    <col min="7170" max="7170" width="83.140625" style="225" customWidth="1"/>
    <col min="7171" max="7173" width="21.42578125" style="225" customWidth="1"/>
    <col min="7174" max="7174" width="19.5703125" style="225" customWidth="1"/>
    <col min="7175" max="7175" width="2.42578125" style="225" customWidth="1"/>
    <col min="7176" max="7177" width="5.140625" style="225" customWidth="1"/>
    <col min="7178" max="7424" width="11.42578125" style="225"/>
    <col min="7425" max="7425" width="20.28515625" style="225" customWidth="1"/>
    <col min="7426" max="7426" width="83.140625" style="225" customWidth="1"/>
    <col min="7427" max="7429" width="21.42578125" style="225" customWidth="1"/>
    <col min="7430" max="7430" width="19.5703125" style="225" customWidth="1"/>
    <col min="7431" max="7431" width="2.42578125" style="225" customWidth="1"/>
    <col min="7432" max="7433" width="5.140625" style="225" customWidth="1"/>
    <col min="7434" max="7680" width="11.42578125" style="225"/>
    <col min="7681" max="7681" width="20.28515625" style="225" customWidth="1"/>
    <col min="7682" max="7682" width="83.140625" style="225" customWidth="1"/>
    <col min="7683" max="7685" width="21.42578125" style="225" customWidth="1"/>
    <col min="7686" max="7686" width="19.5703125" style="225" customWidth="1"/>
    <col min="7687" max="7687" width="2.42578125" style="225" customWidth="1"/>
    <col min="7688" max="7689" width="5.140625" style="225" customWidth="1"/>
    <col min="7690" max="7936" width="11.42578125" style="225"/>
    <col min="7937" max="7937" width="20.28515625" style="225" customWidth="1"/>
    <col min="7938" max="7938" width="83.140625" style="225" customWidth="1"/>
    <col min="7939" max="7941" width="21.42578125" style="225" customWidth="1"/>
    <col min="7942" max="7942" width="19.5703125" style="225" customWidth="1"/>
    <col min="7943" max="7943" width="2.42578125" style="225" customWidth="1"/>
    <col min="7944" max="7945" width="5.140625" style="225" customWidth="1"/>
    <col min="7946" max="8192" width="11.42578125" style="225"/>
    <col min="8193" max="8193" width="20.28515625" style="225" customWidth="1"/>
    <col min="8194" max="8194" width="83.140625" style="225" customWidth="1"/>
    <col min="8195" max="8197" width="21.42578125" style="225" customWidth="1"/>
    <col min="8198" max="8198" width="19.5703125" style="225" customWidth="1"/>
    <col min="8199" max="8199" width="2.42578125" style="225" customWidth="1"/>
    <col min="8200" max="8201" width="5.140625" style="225" customWidth="1"/>
    <col min="8202" max="8448" width="11.42578125" style="225"/>
    <col min="8449" max="8449" width="20.28515625" style="225" customWidth="1"/>
    <col min="8450" max="8450" width="83.140625" style="225" customWidth="1"/>
    <col min="8451" max="8453" width="21.42578125" style="225" customWidth="1"/>
    <col min="8454" max="8454" width="19.5703125" style="225" customWidth="1"/>
    <col min="8455" max="8455" width="2.42578125" style="225" customWidth="1"/>
    <col min="8456" max="8457" width="5.140625" style="225" customWidth="1"/>
    <col min="8458" max="8704" width="11.42578125" style="225"/>
    <col min="8705" max="8705" width="20.28515625" style="225" customWidth="1"/>
    <col min="8706" max="8706" width="83.140625" style="225" customWidth="1"/>
    <col min="8707" max="8709" width="21.42578125" style="225" customWidth="1"/>
    <col min="8710" max="8710" width="19.5703125" style="225" customWidth="1"/>
    <col min="8711" max="8711" width="2.42578125" style="225" customWidth="1"/>
    <col min="8712" max="8713" width="5.140625" style="225" customWidth="1"/>
    <col min="8714" max="8960" width="11.42578125" style="225"/>
    <col min="8961" max="8961" width="20.28515625" style="225" customWidth="1"/>
    <col min="8962" max="8962" width="83.140625" style="225" customWidth="1"/>
    <col min="8963" max="8965" width="21.42578125" style="225" customWidth="1"/>
    <col min="8966" max="8966" width="19.5703125" style="225" customWidth="1"/>
    <col min="8967" max="8967" width="2.42578125" style="225" customWidth="1"/>
    <col min="8968" max="8969" width="5.140625" style="225" customWidth="1"/>
    <col min="8970" max="9216" width="11.42578125" style="225"/>
    <col min="9217" max="9217" width="20.28515625" style="225" customWidth="1"/>
    <col min="9218" max="9218" width="83.140625" style="225" customWidth="1"/>
    <col min="9219" max="9221" width="21.42578125" style="225" customWidth="1"/>
    <col min="9222" max="9222" width="19.5703125" style="225" customWidth="1"/>
    <col min="9223" max="9223" width="2.42578125" style="225" customWidth="1"/>
    <col min="9224" max="9225" width="5.140625" style="225" customWidth="1"/>
    <col min="9226" max="9472" width="11.42578125" style="225"/>
    <col min="9473" max="9473" width="20.28515625" style="225" customWidth="1"/>
    <col min="9474" max="9474" width="83.140625" style="225" customWidth="1"/>
    <col min="9475" max="9477" width="21.42578125" style="225" customWidth="1"/>
    <col min="9478" max="9478" width="19.5703125" style="225" customWidth="1"/>
    <col min="9479" max="9479" width="2.42578125" style="225" customWidth="1"/>
    <col min="9480" max="9481" width="5.140625" style="225" customWidth="1"/>
    <col min="9482" max="9728" width="11.42578125" style="225"/>
    <col min="9729" max="9729" width="20.28515625" style="225" customWidth="1"/>
    <col min="9730" max="9730" width="83.140625" style="225" customWidth="1"/>
    <col min="9731" max="9733" width="21.42578125" style="225" customWidth="1"/>
    <col min="9734" max="9734" width="19.5703125" style="225" customWidth="1"/>
    <col min="9735" max="9735" width="2.42578125" style="225" customWidth="1"/>
    <col min="9736" max="9737" width="5.140625" style="225" customWidth="1"/>
    <col min="9738" max="9984" width="11.42578125" style="225"/>
    <col min="9985" max="9985" width="20.28515625" style="225" customWidth="1"/>
    <col min="9986" max="9986" width="83.140625" style="225" customWidth="1"/>
    <col min="9987" max="9989" width="21.42578125" style="225" customWidth="1"/>
    <col min="9990" max="9990" width="19.5703125" style="225" customWidth="1"/>
    <col min="9991" max="9991" width="2.42578125" style="225" customWidth="1"/>
    <col min="9992" max="9993" width="5.140625" style="225" customWidth="1"/>
    <col min="9994" max="10240" width="11.42578125" style="225"/>
    <col min="10241" max="10241" width="20.28515625" style="225" customWidth="1"/>
    <col min="10242" max="10242" width="83.140625" style="225" customWidth="1"/>
    <col min="10243" max="10245" width="21.42578125" style="225" customWidth="1"/>
    <col min="10246" max="10246" width="19.5703125" style="225" customWidth="1"/>
    <col min="10247" max="10247" width="2.42578125" style="225" customWidth="1"/>
    <col min="10248" max="10249" width="5.140625" style="225" customWidth="1"/>
    <col min="10250" max="10496" width="11.42578125" style="225"/>
    <col min="10497" max="10497" width="20.28515625" style="225" customWidth="1"/>
    <col min="10498" max="10498" width="83.140625" style="225" customWidth="1"/>
    <col min="10499" max="10501" width="21.42578125" style="225" customWidth="1"/>
    <col min="10502" max="10502" width="19.5703125" style="225" customWidth="1"/>
    <col min="10503" max="10503" width="2.42578125" style="225" customWidth="1"/>
    <col min="10504" max="10505" width="5.140625" style="225" customWidth="1"/>
    <col min="10506" max="10752" width="11.42578125" style="225"/>
    <col min="10753" max="10753" width="20.28515625" style="225" customWidth="1"/>
    <col min="10754" max="10754" width="83.140625" style="225" customWidth="1"/>
    <col min="10755" max="10757" width="21.42578125" style="225" customWidth="1"/>
    <col min="10758" max="10758" width="19.5703125" style="225" customWidth="1"/>
    <col min="10759" max="10759" width="2.42578125" style="225" customWidth="1"/>
    <col min="10760" max="10761" width="5.140625" style="225" customWidth="1"/>
    <col min="10762" max="11008" width="11.42578125" style="225"/>
    <col min="11009" max="11009" width="20.28515625" style="225" customWidth="1"/>
    <col min="11010" max="11010" width="83.140625" style="225" customWidth="1"/>
    <col min="11011" max="11013" width="21.42578125" style="225" customWidth="1"/>
    <col min="11014" max="11014" width="19.5703125" style="225" customWidth="1"/>
    <col min="11015" max="11015" width="2.42578125" style="225" customWidth="1"/>
    <col min="11016" max="11017" width="5.140625" style="225" customWidth="1"/>
    <col min="11018" max="11264" width="11.42578125" style="225"/>
    <col min="11265" max="11265" width="20.28515625" style="225" customWidth="1"/>
    <col min="11266" max="11266" width="83.140625" style="225" customWidth="1"/>
    <col min="11267" max="11269" width="21.42578125" style="225" customWidth="1"/>
    <col min="11270" max="11270" width="19.5703125" style="225" customWidth="1"/>
    <col min="11271" max="11271" width="2.42578125" style="225" customWidth="1"/>
    <col min="11272" max="11273" width="5.140625" style="225" customWidth="1"/>
    <col min="11274" max="11520" width="11.42578125" style="225"/>
    <col min="11521" max="11521" width="20.28515625" style="225" customWidth="1"/>
    <col min="11522" max="11522" width="83.140625" style="225" customWidth="1"/>
    <col min="11523" max="11525" width="21.42578125" style="225" customWidth="1"/>
    <col min="11526" max="11526" width="19.5703125" style="225" customWidth="1"/>
    <col min="11527" max="11527" width="2.42578125" style="225" customWidth="1"/>
    <col min="11528" max="11529" width="5.140625" style="225" customWidth="1"/>
    <col min="11530" max="11776" width="11.42578125" style="225"/>
    <col min="11777" max="11777" width="20.28515625" style="225" customWidth="1"/>
    <col min="11778" max="11778" width="83.140625" style="225" customWidth="1"/>
    <col min="11779" max="11781" width="21.42578125" style="225" customWidth="1"/>
    <col min="11782" max="11782" width="19.5703125" style="225" customWidth="1"/>
    <col min="11783" max="11783" width="2.42578125" style="225" customWidth="1"/>
    <col min="11784" max="11785" width="5.140625" style="225" customWidth="1"/>
    <col min="11786" max="12032" width="11.42578125" style="225"/>
    <col min="12033" max="12033" width="20.28515625" style="225" customWidth="1"/>
    <col min="12034" max="12034" width="83.140625" style="225" customWidth="1"/>
    <col min="12035" max="12037" width="21.42578125" style="225" customWidth="1"/>
    <col min="12038" max="12038" width="19.5703125" style="225" customWidth="1"/>
    <col min="12039" max="12039" width="2.42578125" style="225" customWidth="1"/>
    <col min="12040" max="12041" width="5.140625" style="225" customWidth="1"/>
    <col min="12042" max="12288" width="11.42578125" style="225"/>
    <col min="12289" max="12289" width="20.28515625" style="225" customWidth="1"/>
    <col min="12290" max="12290" width="83.140625" style="225" customWidth="1"/>
    <col min="12291" max="12293" width="21.42578125" style="225" customWidth="1"/>
    <col min="12294" max="12294" width="19.5703125" style="225" customWidth="1"/>
    <col min="12295" max="12295" width="2.42578125" style="225" customWidth="1"/>
    <col min="12296" max="12297" width="5.140625" style="225" customWidth="1"/>
    <col min="12298" max="12544" width="11.42578125" style="225"/>
    <col min="12545" max="12545" width="20.28515625" style="225" customWidth="1"/>
    <col min="12546" max="12546" width="83.140625" style="225" customWidth="1"/>
    <col min="12547" max="12549" width="21.42578125" style="225" customWidth="1"/>
    <col min="12550" max="12550" width="19.5703125" style="225" customWidth="1"/>
    <col min="12551" max="12551" width="2.42578125" style="225" customWidth="1"/>
    <col min="12552" max="12553" width="5.140625" style="225" customWidth="1"/>
    <col min="12554" max="12800" width="11.42578125" style="225"/>
    <col min="12801" max="12801" width="20.28515625" style="225" customWidth="1"/>
    <col min="12802" max="12802" width="83.140625" style="225" customWidth="1"/>
    <col min="12803" max="12805" width="21.42578125" style="225" customWidth="1"/>
    <col min="12806" max="12806" width="19.5703125" style="225" customWidth="1"/>
    <col min="12807" max="12807" width="2.42578125" style="225" customWidth="1"/>
    <col min="12808" max="12809" width="5.140625" style="225" customWidth="1"/>
    <col min="12810" max="13056" width="11.42578125" style="225"/>
    <col min="13057" max="13057" width="20.28515625" style="225" customWidth="1"/>
    <col min="13058" max="13058" width="83.140625" style="225" customWidth="1"/>
    <col min="13059" max="13061" width="21.42578125" style="225" customWidth="1"/>
    <col min="13062" max="13062" width="19.5703125" style="225" customWidth="1"/>
    <col min="13063" max="13063" width="2.42578125" style="225" customWidth="1"/>
    <col min="13064" max="13065" width="5.140625" style="225" customWidth="1"/>
    <col min="13066" max="13312" width="11.42578125" style="225"/>
    <col min="13313" max="13313" width="20.28515625" style="225" customWidth="1"/>
    <col min="13314" max="13314" width="83.140625" style="225" customWidth="1"/>
    <col min="13315" max="13317" width="21.42578125" style="225" customWidth="1"/>
    <col min="13318" max="13318" width="19.5703125" style="225" customWidth="1"/>
    <col min="13319" max="13319" width="2.42578125" style="225" customWidth="1"/>
    <col min="13320" max="13321" width="5.140625" style="225" customWidth="1"/>
    <col min="13322" max="13568" width="11.42578125" style="225"/>
    <col min="13569" max="13569" width="20.28515625" style="225" customWidth="1"/>
    <col min="13570" max="13570" width="83.140625" style="225" customWidth="1"/>
    <col min="13571" max="13573" width="21.42578125" style="225" customWidth="1"/>
    <col min="13574" max="13574" width="19.5703125" style="225" customWidth="1"/>
    <col min="13575" max="13575" width="2.42578125" style="225" customWidth="1"/>
    <col min="13576" max="13577" width="5.140625" style="225" customWidth="1"/>
    <col min="13578" max="13824" width="11.42578125" style="225"/>
    <col min="13825" max="13825" width="20.28515625" style="225" customWidth="1"/>
    <col min="13826" max="13826" width="83.140625" style="225" customWidth="1"/>
    <col min="13827" max="13829" width="21.42578125" style="225" customWidth="1"/>
    <col min="13830" max="13830" width="19.5703125" style="225" customWidth="1"/>
    <col min="13831" max="13831" width="2.42578125" style="225" customWidth="1"/>
    <col min="13832" max="13833" width="5.140625" style="225" customWidth="1"/>
    <col min="13834" max="14080" width="11.42578125" style="225"/>
    <col min="14081" max="14081" width="20.28515625" style="225" customWidth="1"/>
    <col min="14082" max="14082" width="83.140625" style="225" customWidth="1"/>
    <col min="14083" max="14085" width="21.42578125" style="225" customWidth="1"/>
    <col min="14086" max="14086" width="19.5703125" style="225" customWidth="1"/>
    <col min="14087" max="14087" width="2.42578125" style="225" customWidth="1"/>
    <col min="14088" max="14089" width="5.140625" style="225" customWidth="1"/>
    <col min="14090" max="14336" width="11.42578125" style="225"/>
    <col min="14337" max="14337" width="20.28515625" style="225" customWidth="1"/>
    <col min="14338" max="14338" width="83.140625" style="225" customWidth="1"/>
    <col min="14339" max="14341" width="21.42578125" style="225" customWidth="1"/>
    <col min="14342" max="14342" width="19.5703125" style="225" customWidth="1"/>
    <col min="14343" max="14343" width="2.42578125" style="225" customWidth="1"/>
    <col min="14344" max="14345" width="5.140625" style="225" customWidth="1"/>
    <col min="14346" max="14592" width="11.42578125" style="225"/>
    <col min="14593" max="14593" width="20.28515625" style="225" customWidth="1"/>
    <col min="14594" max="14594" width="83.140625" style="225" customWidth="1"/>
    <col min="14595" max="14597" width="21.42578125" style="225" customWidth="1"/>
    <col min="14598" max="14598" width="19.5703125" style="225" customWidth="1"/>
    <col min="14599" max="14599" width="2.42578125" style="225" customWidth="1"/>
    <col min="14600" max="14601" width="5.140625" style="225" customWidth="1"/>
    <col min="14602" max="14848" width="11.42578125" style="225"/>
    <col min="14849" max="14849" width="20.28515625" style="225" customWidth="1"/>
    <col min="14850" max="14850" width="83.140625" style="225" customWidth="1"/>
    <col min="14851" max="14853" width="21.42578125" style="225" customWidth="1"/>
    <col min="14854" max="14854" width="19.5703125" style="225" customWidth="1"/>
    <col min="14855" max="14855" width="2.42578125" style="225" customWidth="1"/>
    <col min="14856" max="14857" width="5.140625" style="225" customWidth="1"/>
    <col min="14858" max="15104" width="11.42578125" style="225"/>
    <col min="15105" max="15105" width="20.28515625" style="225" customWidth="1"/>
    <col min="15106" max="15106" width="83.140625" style="225" customWidth="1"/>
    <col min="15107" max="15109" width="21.42578125" style="225" customWidth="1"/>
    <col min="15110" max="15110" width="19.5703125" style="225" customWidth="1"/>
    <col min="15111" max="15111" width="2.42578125" style="225" customWidth="1"/>
    <col min="15112" max="15113" width="5.140625" style="225" customWidth="1"/>
    <col min="15114" max="15360" width="11.42578125" style="225"/>
    <col min="15361" max="15361" width="20.28515625" style="225" customWidth="1"/>
    <col min="15362" max="15362" width="83.140625" style="225" customWidth="1"/>
    <col min="15363" max="15365" width="21.42578125" style="225" customWidth="1"/>
    <col min="15366" max="15366" width="19.5703125" style="225" customWidth="1"/>
    <col min="15367" max="15367" width="2.42578125" style="225" customWidth="1"/>
    <col min="15368" max="15369" width="5.140625" style="225" customWidth="1"/>
    <col min="15370" max="15616" width="11.42578125" style="225"/>
    <col min="15617" max="15617" width="20.28515625" style="225" customWidth="1"/>
    <col min="15618" max="15618" width="83.140625" style="225" customWidth="1"/>
    <col min="15619" max="15621" width="21.42578125" style="225" customWidth="1"/>
    <col min="15622" max="15622" width="19.5703125" style="225" customWidth="1"/>
    <col min="15623" max="15623" width="2.42578125" style="225" customWidth="1"/>
    <col min="15624" max="15625" width="5.140625" style="225" customWidth="1"/>
    <col min="15626" max="15872" width="11.42578125" style="225"/>
    <col min="15873" max="15873" width="20.28515625" style="225" customWidth="1"/>
    <col min="15874" max="15874" width="83.140625" style="225" customWidth="1"/>
    <col min="15875" max="15877" width="21.42578125" style="225" customWidth="1"/>
    <col min="15878" max="15878" width="19.5703125" style="225" customWidth="1"/>
    <col min="15879" max="15879" width="2.42578125" style="225" customWidth="1"/>
    <col min="15880" max="15881" width="5.140625" style="225" customWidth="1"/>
    <col min="15882" max="16128" width="11.42578125" style="225"/>
    <col min="16129" max="16129" width="20.28515625" style="225" customWidth="1"/>
    <col min="16130" max="16130" width="83.140625" style="225" customWidth="1"/>
    <col min="16131" max="16133" width="21.42578125" style="225" customWidth="1"/>
    <col min="16134" max="16134" width="19.5703125" style="225" customWidth="1"/>
    <col min="16135" max="16135" width="2.42578125" style="225" customWidth="1"/>
    <col min="16136" max="16137" width="5.140625" style="225" customWidth="1"/>
    <col min="16138" max="16384" width="11.42578125" style="225"/>
  </cols>
  <sheetData>
    <row r="1" spans="1:19" x14ac:dyDescent="0.25">
      <c r="A1" s="15" t="s">
        <v>0</v>
      </c>
      <c r="B1" s="16"/>
      <c r="C1" s="543" t="s">
        <v>1</v>
      </c>
      <c r="D1" s="544"/>
      <c r="E1" s="545"/>
      <c r="F1" s="17"/>
    </row>
    <row r="2" spans="1:19" x14ac:dyDescent="0.25">
      <c r="A2" s="15" t="str">
        <f>CONCATENATE("COMUNA: ",[1]NOMBRE!B2," - ","( ",[1]NOMBRE!C2,[1]NOMBRE!D2,[1]NOMBRE!E2,[1]NOMBRE!F2,[1]NOMBRE!G2," )")</f>
        <v>COMUNA:  - (  )</v>
      </c>
      <c r="B2" s="16"/>
      <c r="C2" s="546"/>
      <c r="D2" s="547"/>
      <c r="E2" s="548"/>
      <c r="F2" s="18"/>
      <c r="G2" s="512"/>
    </row>
    <row r="3" spans="1:19" x14ac:dyDescent="0.25">
      <c r="A3" s="15" t="str">
        <f>CONCATENATE("ESTABLECIMIENTO/ESTRATEGIA: ",[1]NOMBRE!B3," - ","( ",[1]NOMBRE!C3,[1]NOMBRE!D3,[1]NOMBRE!E3,[1]NOMBRE!F3,[1]NOMBRE!G3,[1]NOMBRE!H3," )")</f>
        <v>ESTABLECIMIENTO/ESTRATEGIA:  - (  )</v>
      </c>
      <c r="B3" s="16"/>
      <c r="C3" s="543" t="s">
        <v>2</v>
      </c>
      <c r="D3" s="544"/>
      <c r="E3" s="545"/>
      <c r="F3" s="18"/>
      <c r="G3" s="513"/>
    </row>
    <row r="4" spans="1:19" x14ac:dyDescent="0.25">
      <c r="A4" s="15" t="str">
        <f>CONCATENATE("MES: ",[1]NOMBRE!B6," - ","( ",[1]NOMBRE!C6,[1]NOMBRE!D6," )")</f>
        <v>MES:  - (  )</v>
      </c>
      <c r="B4" s="16"/>
      <c r="C4" s="546" t="str">
        <f>CONCATENATE([1]NOMBRE!B6," ","( ",[1]NOMBRE!C6,[1]NOMBRE!D6," )")</f>
        <v xml:space="preserve"> (  )</v>
      </c>
      <c r="D4" s="547"/>
      <c r="E4" s="548"/>
      <c r="F4" s="18"/>
      <c r="G4" s="513"/>
    </row>
    <row r="5" spans="1:19" x14ac:dyDescent="0.25">
      <c r="A5" s="15" t="str">
        <f>CONCATENATE("AÑO: ",[1]NOMBRE!B7)</f>
        <v>AÑO: 2014</v>
      </c>
      <c r="B5" s="16"/>
      <c r="C5" s="543" t="s">
        <v>3</v>
      </c>
      <c r="D5" s="544"/>
      <c r="E5" s="545"/>
      <c r="F5" s="18"/>
      <c r="G5" s="513"/>
    </row>
    <row r="6" spans="1:19" x14ac:dyDescent="0.25">
      <c r="A6" s="21"/>
      <c r="B6" s="21"/>
      <c r="C6" s="546">
        <f>[1]NOMBRE!B7</f>
        <v>2014</v>
      </c>
      <c r="D6" s="547"/>
      <c r="E6" s="548"/>
      <c r="F6" s="18"/>
      <c r="G6" s="513"/>
    </row>
    <row r="7" spans="1:19" x14ac:dyDescent="0.25">
      <c r="A7" s="555" t="s">
        <v>4</v>
      </c>
      <c r="B7" s="556"/>
      <c r="C7" s="560" t="s">
        <v>5</v>
      </c>
      <c r="D7" s="561"/>
      <c r="E7" s="562"/>
      <c r="F7" s="18"/>
      <c r="G7" s="513"/>
    </row>
    <row r="8" spans="1:19" x14ac:dyDescent="0.25">
      <c r="A8" s="21"/>
      <c r="B8" s="230" t="s">
        <v>6</v>
      </c>
      <c r="C8" s="546" t="str">
        <f>CONCATENATE([1]NOMBRE!B3," ","( ",[1]NOMBRE!C3,[1]NOMBRE!D3,[1]NOMBRE!E3,[1]NOMBRE!F3,[1]NOMBRE!G3," )")</f>
        <v xml:space="preserve"> (  )</v>
      </c>
      <c r="D8" s="547"/>
      <c r="E8" s="548"/>
      <c r="F8" s="18"/>
      <c r="G8" s="513"/>
    </row>
    <row r="9" spans="1:19" x14ac:dyDescent="0.25">
      <c r="A9" s="21"/>
      <c r="B9" s="21"/>
      <c r="C9" s="21"/>
      <c r="D9" s="21"/>
      <c r="E9" s="21"/>
      <c r="F9" s="18"/>
      <c r="G9" s="513"/>
    </row>
    <row r="10" spans="1:19" x14ac:dyDescent="0.25">
      <c r="A10" s="21"/>
      <c r="B10" s="21"/>
      <c r="C10" s="21"/>
      <c r="D10" s="21"/>
      <c r="E10" s="21"/>
      <c r="F10" s="18"/>
      <c r="G10" s="514"/>
    </row>
    <row r="11" spans="1:19" x14ac:dyDescent="0.25">
      <c r="A11" s="549" t="s">
        <v>7</v>
      </c>
      <c r="B11" s="550"/>
      <c r="C11" s="550"/>
      <c r="D11" s="550"/>
      <c r="E11" s="551"/>
      <c r="F11" s="21">
        <f t="shared" ref="F11" si="0">+E11/7</f>
        <v>0</v>
      </c>
    </row>
    <row r="12" spans="1:19" ht="43.5" customHeight="1" x14ac:dyDescent="0.25">
      <c r="A12" s="1" t="s">
        <v>8</v>
      </c>
      <c r="B12" s="1" t="s">
        <v>9</v>
      </c>
      <c r="C12" s="227" t="s">
        <v>10</v>
      </c>
      <c r="D12" s="3" t="s">
        <v>11</v>
      </c>
      <c r="E12" s="229" t="s">
        <v>12</v>
      </c>
      <c r="F12" s="21"/>
      <c r="G12" s="511" t="s">
        <v>481</v>
      </c>
      <c r="H12" s="511" t="s">
        <v>482</v>
      </c>
      <c r="I12" s="511" t="s">
        <v>483</v>
      </c>
      <c r="J12" s="515" t="s">
        <v>484</v>
      </c>
    </row>
    <row r="13" spans="1:19" ht="12.75" customHeight="1" x14ac:dyDescent="0.25">
      <c r="A13" s="552" t="s">
        <v>13</v>
      </c>
      <c r="B13" s="553"/>
      <c r="C13" s="553"/>
      <c r="D13" s="553"/>
      <c r="E13" s="554"/>
      <c r="F13" s="21"/>
    </row>
    <row r="14" spans="1:19" ht="15" customHeight="1" x14ac:dyDescent="0.25">
      <c r="A14" s="179" t="s">
        <v>14</v>
      </c>
      <c r="B14" s="188" t="s">
        <v>15</v>
      </c>
      <c r="C14" s="132">
        <f>+'ENERO '!C14+FEBRERO!C14+MARZO!C14+ABRIL!C14+MAYO!C14+JUNIO!C14+JULIO!C14+AGOSTO!C14+SEPTIEMBRE!C14+OCTUBRE!C14+NOVIEMBRE!C14+DICIEMBRE!C14</f>
        <v>0</v>
      </c>
      <c r="D14" s="23">
        <f>[1]BS17A!$U13</f>
        <v>4050</v>
      </c>
      <c r="E14" s="132">
        <f>+'ENERO '!E14+FEBRERO!E14+MARZO!E14+ABRIL!E14+MAYO!E14+JUNIO!E14+JULIO!E14+AGOSTO!E14+SEPTIEMBRE!E14+OCTUBRE!E14+NOVIEMBRE!E14+DICIEMBRE!E14</f>
        <v>0</v>
      </c>
      <c r="F14" s="21"/>
      <c r="S14" s="532">
        <v>0</v>
      </c>
    </row>
    <row r="15" spans="1:19" ht="15" customHeight="1" x14ac:dyDescent="0.25">
      <c r="A15" s="180" t="s">
        <v>16</v>
      </c>
      <c r="B15" s="177" t="s">
        <v>17</v>
      </c>
      <c r="C15" s="132">
        <f>+'ENERO '!C15+FEBRERO!C15+MARZO!C15+ABRIL!C15+MAYO!C15+JUNIO!C15+JULIO!C15+AGOSTO!C15+SEPTIEMBRE!C15+OCTUBRE!C15+NOVIEMBRE!C15+DICIEMBRE!C15</f>
        <v>0</v>
      </c>
      <c r="D15" s="26">
        <f>[1]BS17A!$U14</f>
        <v>5090</v>
      </c>
      <c r="E15" s="132">
        <f>+'ENERO '!E15+FEBRERO!E15+MARZO!E15+ABRIL!E15+MAYO!E15+JUNIO!E15+JULIO!E15+AGOSTO!E15+SEPTIEMBRE!E15+OCTUBRE!E15+NOVIEMBRE!E15+DICIEMBRE!E15</f>
        <v>0</v>
      </c>
      <c r="F15" s="21"/>
      <c r="S15" s="532">
        <v>0</v>
      </c>
    </row>
    <row r="16" spans="1:19" ht="15" customHeight="1" x14ac:dyDescent="0.25">
      <c r="A16" s="180" t="s">
        <v>18</v>
      </c>
      <c r="B16" s="177" t="s">
        <v>19</v>
      </c>
      <c r="C16" s="132">
        <f>+'ENERO '!C16+FEBRERO!C16+MARZO!C16+ABRIL!C16+MAYO!C16+JUNIO!C16+JULIO!C16+AGOSTO!C16+SEPTIEMBRE!C16+OCTUBRE!C16+NOVIEMBRE!C16+DICIEMBRE!C16</f>
        <v>76789</v>
      </c>
      <c r="D16" s="26">
        <f>[1]BS17A!$U15</f>
        <v>10920</v>
      </c>
      <c r="E16" s="132">
        <f>+'ENERO '!E16+FEBRERO!E16+MARZO!E16+ABRIL!E16+MAYO!E16+JUNIO!E16+JULIO!E16+AGOSTO!E16+SEPTIEMBRE!E16+OCTUBRE!E16+NOVIEMBRE!E16+DICIEMBRE!E16</f>
        <v>857485140</v>
      </c>
      <c r="F16" s="21"/>
      <c r="G16" s="511">
        <f>+E16/7</f>
        <v>122497877.14285715</v>
      </c>
      <c r="H16" s="511">
        <f>+G16*12</f>
        <v>1469974525.7142859</v>
      </c>
      <c r="I16" s="511">
        <f>+H16*10%</f>
        <v>146997452.5714286</v>
      </c>
      <c r="J16" s="515">
        <f>+I16+H16</f>
        <v>1616971978.2857144</v>
      </c>
      <c r="S16" s="532">
        <v>641755140</v>
      </c>
    </row>
    <row r="17" spans="1:19" ht="15" customHeight="1" x14ac:dyDescent="0.25">
      <c r="A17" s="180" t="s">
        <v>20</v>
      </c>
      <c r="B17" s="177" t="s">
        <v>21</v>
      </c>
      <c r="C17" s="132">
        <f>+'ENERO '!C17+FEBRERO!C17+MARZO!C17+ABRIL!C17+MAYO!C17+JUNIO!C17+JULIO!C17+AGOSTO!C17+SEPTIEMBRE!C17+OCTUBRE!C17+NOVIEMBRE!C17+DICIEMBRE!C17</f>
        <v>0</v>
      </c>
      <c r="D17" s="26">
        <f>[1]BS17A!$U16</f>
        <v>6520</v>
      </c>
      <c r="E17" s="132">
        <f>+'ENERO '!E17+FEBRERO!E17+MARZO!E17+ABRIL!E17+MAYO!E17+JUNIO!E17+JULIO!E17+AGOSTO!E17+SEPTIEMBRE!E17+OCTUBRE!E17+NOVIEMBRE!E17+DICIEMBRE!E17</f>
        <v>0</v>
      </c>
      <c r="F17" s="21"/>
      <c r="G17" s="511">
        <f t="shared" ref="G17:G79" si="1">+E17/7</f>
        <v>0</v>
      </c>
      <c r="H17" s="511">
        <f t="shared" ref="H17:H79" si="2">+G17*12</f>
        <v>0</v>
      </c>
      <c r="I17" s="511">
        <f t="shared" ref="I17:I79" si="3">+H17*10%</f>
        <v>0</v>
      </c>
      <c r="J17" s="515">
        <f t="shared" ref="J17:J79" si="4">+I17+H17</f>
        <v>0</v>
      </c>
      <c r="S17" s="532">
        <v>0</v>
      </c>
    </row>
    <row r="18" spans="1:19" ht="15" customHeight="1" x14ac:dyDescent="0.25">
      <c r="A18" s="180" t="s">
        <v>22</v>
      </c>
      <c r="B18" s="177" t="s">
        <v>23</v>
      </c>
      <c r="C18" s="132">
        <f>+'ENERO '!C18+FEBRERO!C18+MARZO!C18+ABRIL!C18+MAYO!C18+JUNIO!C18+JULIO!C18+AGOSTO!C18+SEPTIEMBRE!C18+OCTUBRE!C18+NOVIEMBRE!C18+DICIEMBRE!C18</f>
        <v>0</v>
      </c>
      <c r="D18" s="26">
        <f>[1]BS17A!$U17</f>
        <v>7160</v>
      </c>
      <c r="E18" s="132">
        <f>+'ENERO '!E18+FEBRERO!E18+MARZO!E18+ABRIL!E18+MAYO!E18+JUNIO!E18+JULIO!E18+AGOSTO!E18+SEPTIEMBRE!E18+OCTUBRE!E18+NOVIEMBRE!E18+DICIEMBRE!E18</f>
        <v>0</v>
      </c>
      <c r="F18" s="21"/>
      <c r="G18" s="511">
        <f t="shared" si="1"/>
        <v>0</v>
      </c>
      <c r="H18" s="511">
        <f t="shared" si="2"/>
        <v>0</v>
      </c>
      <c r="I18" s="511">
        <f t="shared" si="3"/>
        <v>0</v>
      </c>
      <c r="J18" s="515">
        <f t="shared" si="4"/>
        <v>0</v>
      </c>
      <c r="S18" s="532">
        <v>0</v>
      </c>
    </row>
    <row r="19" spans="1:19" ht="33" customHeight="1" x14ac:dyDescent="0.25">
      <c r="A19" s="180" t="s">
        <v>24</v>
      </c>
      <c r="B19" s="14" t="s">
        <v>25</v>
      </c>
      <c r="C19" s="132">
        <f>+'ENERO '!C19+FEBRERO!C19+MARZO!C19+ABRIL!C19+MAYO!C19+JUNIO!C19+JULIO!C19+AGOSTO!C19+SEPTIEMBRE!C19+OCTUBRE!C19+NOVIEMBRE!C19+DICIEMBRE!C19</f>
        <v>0</v>
      </c>
      <c r="D19" s="26">
        <f>[1]BS17A!$U20</f>
        <v>5520</v>
      </c>
      <c r="E19" s="132">
        <f>+'ENERO '!E19+FEBRERO!E19+MARZO!E19+ABRIL!E19+MAYO!E19+JUNIO!E19+JULIO!E19+AGOSTO!E19+SEPTIEMBRE!E19+OCTUBRE!E19+NOVIEMBRE!E19+DICIEMBRE!E19</f>
        <v>0</v>
      </c>
      <c r="F19" s="21"/>
      <c r="G19" s="511">
        <f t="shared" si="1"/>
        <v>0</v>
      </c>
      <c r="H19" s="511">
        <f t="shared" si="2"/>
        <v>0</v>
      </c>
      <c r="I19" s="511">
        <f t="shared" si="3"/>
        <v>0</v>
      </c>
      <c r="J19" s="515">
        <f t="shared" si="4"/>
        <v>0</v>
      </c>
      <c r="S19" s="532">
        <v>0</v>
      </c>
    </row>
    <row r="20" spans="1:19" ht="42.75" customHeight="1" x14ac:dyDescent="0.25">
      <c r="A20" s="180" t="s">
        <v>26</v>
      </c>
      <c r="B20" s="14" t="s">
        <v>27</v>
      </c>
      <c r="C20" s="132">
        <f>+'ENERO '!C20+FEBRERO!C20+MARZO!C20+ABRIL!C20+MAYO!C20+JUNIO!C20+JULIO!C20+AGOSTO!C20+SEPTIEMBRE!C20+OCTUBRE!C20+NOVIEMBRE!C20+DICIEMBRE!C20</f>
        <v>0</v>
      </c>
      <c r="D20" s="26">
        <f>[1]BS17A!$U21</f>
        <v>6620</v>
      </c>
      <c r="E20" s="132">
        <f>+'ENERO '!E20+FEBRERO!E20+MARZO!E20+ABRIL!E20+MAYO!E20+JUNIO!E20+JULIO!E20+AGOSTO!E20+SEPTIEMBRE!E20+OCTUBRE!E20+NOVIEMBRE!E20+DICIEMBRE!E20</f>
        <v>0</v>
      </c>
      <c r="F20" s="21"/>
      <c r="G20" s="511">
        <f t="shared" si="1"/>
        <v>0</v>
      </c>
      <c r="H20" s="511">
        <f t="shared" si="2"/>
        <v>0</v>
      </c>
      <c r="I20" s="511">
        <f t="shared" si="3"/>
        <v>0</v>
      </c>
      <c r="J20" s="515">
        <f t="shared" si="4"/>
        <v>0</v>
      </c>
      <c r="S20" s="532">
        <v>0</v>
      </c>
    </row>
    <row r="21" spans="1:19" ht="42.75" customHeight="1" x14ac:dyDescent="0.25">
      <c r="A21" s="180" t="s">
        <v>28</v>
      </c>
      <c r="B21" s="14" t="s">
        <v>29</v>
      </c>
      <c r="C21" s="132">
        <f>+'ENERO '!C21+FEBRERO!C21+MARZO!C21+ABRIL!C21+MAYO!C21+JUNIO!C21+JULIO!C21+AGOSTO!C21+SEPTIEMBRE!C21+OCTUBRE!C21+NOVIEMBRE!C21+DICIEMBRE!C21</f>
        <v>0</v>
      </c>
      <c r="D21" s="26">
        <f>[1]BS17A!$U22</f>
        <v>8210</v>
      </c>
      <c r="E21" s="132">
        <f>+'ENERO '!E21+FEBRERO!E21+MARZO!E21+ABRIL!E21+MAYO!E21+JUNIO!E21+JULIO!E21+AGOSTO!E21+SEPTIEMBRE!E21+OCTUBRE!E21+NOVIEMBRE!E21+DICIEMBRE!E21</f>
        <v>0</v>
      </c>
      <c r="F21" s="21"/>
      <c r="G21" s="511">
        <f t="shared" si="1"/>
        <v>0</v>
      </c>
      <c r="H21" s="511">
        <f t="shared" si="2"/>
        <v>0</v>
      </c>
      <c r="I21" s="511">
        <f t="shared" si="3"/>
        <v>0</v>
      </c>
      <c r="J21" s="515">
        <f t="shared" si="4"/>
        <v>0</v>
      </c>
      <c r="S21" s="532">
        <v>0</v>
      </c>
    </row>
    <row r="22" spans="1:19" ht="32.25" customHeight="1" x14ac:dyDescent="0.25">
      <c r="A22" s="180" t="s">
        <v>30</v>
      </c>
      <c r="B22" s="14" t="s">
        <v>31</v>
      </c>
      <c r="C22" s="132">
        <f>+'ENERO '!C22+FEBRERO!C22+MARZO!C22+ABRIL!C22+MAYO!C22+JUNIO!C22+JULIO!C22+AGOSTO!C22+SEPTIEMBRE!C22+OCTUBRE!C22+NOVIEMBRE!C22+DICIEMBRE!C22</f>
        <v>23699</v>
      </c>
      <c r="D22" s="26">
        <f>[1]BS17A!$U23</f>
        <v>5520</v>
      </c>
      <c r="E22" s="132">
        <f>+'ENERO '!E22+FEBRERO!E22+MARZO!E22+ABRIL!E22+MAYO!E22+JUNIO!E22+JULIO!E22+AGOSTO!E22+SEPTIEMBRE!E22+OCTUBRE!E22+NOVIEMBRE!E22+DICIEMBRE!E22</f>
        <v>134129230</v>
      </c>
      <c r="F22" s="21"/>
      <c r="G22" s="511">
        <f t="shared" si="1"/>
        <v>19161318.571428571</v>
      </c>
      <c r="H22" s="511">
        <f t="shared" si="2"/>
        <v>229935822.85714287</v>
      </c>
      <c r="I22" s="511">
        <f t="shared" si="3"/>
        <v>22993582.285714287</v>
      </c>
      <c r="J22" s="515">
        <f t="shared" si="4"/>
        <v>252929405.14285716</v>
      </c>
      <c r="S22" s="532">
        <v>97588050</v>
      </c>
    </row>
    <row r="23" spans="1:19" ht="40.5" customHeight="1" x14ac:dyDescent="0.25">
      <c r="A23" s="180" t="s">
        <v>32</v>
      </c>
      <c r="B23" s="14" t="s">
        <v>33</v>
      </c>
      <c r="C23" s="132">
        <f>+'ENERO '!C23+FEBRERO!C23+MARZO!C23+ABRIL!C23+MAYO!C23+JUNIO!C23+JULIO!C23+AGOSTO!C23+SEPTIEMBRE!C23+OCTUBRE!C23+NOVIEMBRE!C23+DICIEMBRE!C23</f>
        <v>14687</v>
      </c>
      <c r="D23" s="26">
        <f>[1]BS17A!$U24</f>
        <v>6620</v>
      </c>
      <c r="E23" s="132">
        <f>+'ENERO '!E23+FEBRERO!E23+MARZO!E23+ABRIL!E23+MAYO!E23+JUNIO!E23+JULIO!E23+AGOSTO!E23+SEPTIEMBRE!E23+OCTUBRE!E23+NOVIEMBRE!E23+DICIEMBRE!E23</f>
        <v>99652140</v>
      </c>
      <c r="F23" s="21"/>
      <c r="G23" s="511">
        <f t="shared" si="1"/>
        <v>14236020</v>
      </c>
      <c r="H23" s="511">
        <f t="shared" si="2"/>
        <v>170832240</v>
      </c>
      <c r="I23" s="511">
        <f t="shared" si="3"/>
        <v>17083224</v>
      </c>
      <c r="J23" s="515">
        <f t="shared" si="4"/>
        <v>187915464</v>
      </c>
      <c r="S23" s="532">
        <v>72672220</v>
      </c>
    </row>
    <row r="24" spans="1:19" ht="27" customHeight="1" x14ac:dyDescent="0.25">
      <c r="A24" s="180" t="s">
        <v>34</v>
      </c>
      <c r="B24" s="14" t="s">
        <v>35</v>
      </c>
      <c r="C24" s="132">
        <f>+'ENERO '!C24+FEBRERO!C24+MARZO!C24+ABRIL!C24+MAYO!C24+JUNIO!C24+JULIO!C24+AGOSTO!C24+SEPTIEMBRE!C24+OCTUBRE!C24+NOVIEMBRE!C24+DICIEMBRE!C24</f>
        <v>27612</v>
      </c>
      <c r="D24" s="26">
        <f>[1]BS17A!$U25</f>
        <v>8210</v>
      </c>
      <c r="E24" s="132">
        <f>+'ENERO '!E24+FEBRERO!E24+MARZO!E24+ABRIL!E24+MAYO!E24+JUNIO!E24+JULIO!E24+AGOSTO!E24+SEPTIEMBRE!E24+OCTUBRE!E24+NOVIEMBRE!E24+DICIEMBRE!E24</f>
        <v>231966770</v>
      </c>
      <c r="F24" s="21"/>
      <c r="G24" s="511">
        <f t="shared" si="1"/>
        <v>33138110</v>
      </c>
      <c r="H24" s="511">
        <f t="shared" si="2"/>
        <v>397657320</v>
      </c>
      <c r="I24" s="511">
        <f t="shared" si="3"/>
        <v>39765732</v>
      </c>
      <c r="J24" s="515">
        <f t="shared" si="4"/>
        <v>437423052</v>
      </c>
      <c r="L24" s="225">
        <f>SUM(J22:J26)</f>
        <v>907071641.14285719</v>
      </c>
      <c r="S24" s="532">
        <v>172789070</v>
      </c>
    </row>
    <row r="25" spans="1:19" ht="15" customHeight="1" x14ac:dyDescent="0.25">
      <c r="A25" s="180" t="s">
        <v>36</v>
      </c>
      <c r="B25" s="176" t="s">
        <v>37</v>
      </c>
      <c r="C25" s="132">
        <f>+'ENERO '!C25+FEBRERO!C25+MARZO!C25+ABRIL!C25+MAYO!C25+JUNIO!C25+JULIO!C25+AGOSTO!C25+SEPTIEMBRE!C25+OCTUBRE!C25+NOVIEMBRE!C25+DICIEMBRE!C25</f>
        <v>2231</v>
      </c>
      <c r="D25" s="26">
        <f>+[1]BS17A!$U795</f>
        <v>6700</v>
      </c>
      <c r="E25" s="132">
        <f>+'ENERO '!E25+FEBRERO!E25+MARZO!E25+ABRIL!E25+MAYO!E25+JUNIO!E25+JULIO!E25+AGOSTO!E25+SEPTIEMBRE!E25+OCTUBRE!E25+NOVIEMBRE!E25+DICIEMBRE!E25</f>
        <v>15274700</v>
      </c>
      <c r="F25" s="21"/>
      <c r="G25" s="511">
        <f t="shared" si="1"/>
        <v>2182100</v>
      </c>
      <c r="H25" s="511">
        <f t="shared" si="2"/>
        <v>26185200</v>
      </c>
      <c r="I25" s="511">
        <f t="shared" si="3"/>
        <v>2618520</v>
      </c>
      <c r="J25" s="515">
        <f t="shared" si="4"/>
        <v>28803720</v>
      </c>
      <c r="S25" s="532">
        <v>11114000</v>
      </c>
    </row>
    <row r="26" spans="1:19" ht="15" customHeight="1" x14ac:dyDescent="0.25">
      <c r="A26" s="181" t="s">
        <v>38</v>
      </c>
      <c r="B26" s="195" t="s">
        <v>39</v>
      </c>
      <c r="C26" s="132">
        <f>+'ENERO '!C26+FEBRERO!C26+MARZO!C26+ABRIL!C26+MAYO!C26+JUNIO!C26+JULIO!C26+AGOSTO!C26+SEPTIEMBRE!C26+OCTUBRE!C26+NOVIEMBRE!C26+DICIEMBRE!C26</f>
        <v>0</v>
      </c>
      <c r="D26" s="28">
        <f>+[1]BS17A!$U800</f>
        <v>27750</v>
      </c>
      <c r="E26" s="132">
        <f>+'ENERO '!E26+FEBRERO!E26+MARZO!E26+ABRIL!E26+MAYO!E26+JUNIO!E26+JULIO!E26+AGOSTO!E26+SEPTIEMBRE!E26+OCTUBRE!E26+NOVIEMBRE!E26+DICIEMBRE!E26</f>
        <v>0</v>
      </c>
      <c r="F26" s="21"/>
      <c r="G26" s="511">
        <f t="shared" si="1"/>
        <v>0</v>
      </c>
      <c r="H26" s="511">
        <f t="shared" si="2"/>
        <v>0</v>
      </c>
      <c r="I26" s="511">
        <f t="shared" si="3"/>
        <v>0</v>
      </c>
      <c r="J26" s="515">
        <f t="shared" si="4"/>
        <v>0</v>
      </c>
      <c r="S26" s="532">
        <v>0</v>
      </c>
    </row>
    <row r="27" spans="1:19" ht="18" customHeight="1" x14ac:dyDescent="0.25">
      <c r="A27" s="552" t="s">
        <v>40</v>
      </c>
      <c r="B27" s="553"/>
      <c r="C27" s="553"/>
      <c r="D27" s="553"/>
      <c r="E27" s="554"/>
      <c r="F27" s="21"/>
      <c r="G27" s="511">
        <f t="shared" si="1"/>
        <v>0</v>
      </c>
      <c r="H27" s="511">
        <f t="shared" si="2"/>
        <v>0</v>
      </c>
      <c r="I27" s="511">
        <f t="shared" si="3"/>
        <v>0</v>
      </c>
      <c r="J27" s="515">
        <f t="shared" si="4"/>
        <v>0</v>
      </c>
    </row>
    <row r="28" spans="1:19" ht="15" customHeight="1" x14ac:dyDescent="0.25">
      <c r="A28" s="179" t="s">
        <v>41</v>
      </c>
      <c r="B28" s="188" t="s">
        <v>42</v>
      </c>
      <c r="C28" s="132">
        <f>+'ENERO '!C28+FEBRERO!C28+MARZO!C28+ABRIL!C28+MAYO!C28+JUNIO!C28+JULIO!C28+AGOSTO!C28+SEPTIEMBRE!C28+OCTUBRE!C28+NOVIEMBRE!C28+DICIEMBRE!C28</f>
        <v>20481</v>
      </c>
      <c r="D28" s="23">
        <f>[1]BS17A!$U27</f>
        <v>1080</v>
      </c>
      <c r="E28" s="132">
        <f>+'ENERO '!E28+FEBRERO!E28+MARZO!E28+ABRIL!E28+MAYO!E28+JUNIO!E28+JULIO!E28+AGOSTO!E28+SEPTIEMBRE!E28+OCTUBRE!E28+NOVIEMBRE!E28+DICIEMBRE!E28</f>
        <v>22575570</v>
      </c>
      <c r="F28" s="21"/>
      <c r="G28" s="511">
        <f t="shared" si="1"/>
        <v>3225081.4285714286</v>
      </c>
      <c r="H28" s="511">
        <f t="shared" si="2"/>
        <v>38700977.142857142</v>
      </c>
      <c r="I28" s="511">
        <f t="shared" si="3"/>
        <v>3870097.7142857146</v>
      </c>
      <c r="J28" s="515">
        <f t="shared" si="4"/>
        <v>42571074.857142858</v>
      </c>
      <c r="S28" s="511">
        <v>17118810</v>
      </c>
    </row>
    <row r="29" spans="1:19" ht="15" customHeight="1" x14ac:dyDescent="0.25">
      <c r="A29" s="180" t="s">
        <v>43</v>
      </c>
      <c r="B29" s="194" t="s">
        <v>44</v>
      </c>
      <c r="C29" s="132">
        <f>+'ENERO '!C29+FEBRERO!C29+MARZO!C29+ABRIL!C29+MAYO!C29+JUNIO!C29+JULIO!C29+AGOSTO!C29+SEPTIEMBRE!C29+OCTUBRE!C29+NOVIEMBRE!C29+DICIEMBRE!C29</f>
        <v>0</v>
      </c>
      <c r="D29" s="26">
        <f>[1]BS17A!$U28</f>
        <v>1840</v>
      </c>
      <c r="E29" s="132">
        <f>+'ENERO '!E29+FEBRERO!E29+MARZO!E29+ABRIL!E29+MAYO!E29+JUNIO!E29+JULIO!E29+AGOSTO!E29+SEPTIEMBRE!E29+OCTUBRE!E29+NOVIEMBRE!E29+DICIEMBRE!E29</f>
        <v>0</v>
      </c>
      <c r="F29" s="21"/>
      <c r="G29" s="511">
        <f t="shared" si="1"/>
        <v>0</v>
      </c>
      <c r="H29" s="511">
        <f t="shared" si="2"/>
        <v>0</v>
      </c>
      <c r="I29" s="511">
        <f t="shared" si="3"/>
        <v>0</v>
      </c>
      <c r="J29" s="515">
        <f t="shared" si="4"/>
        <v>0</v>
      </c>
      <c r="S29" s="511">
        <v>0</v>
      </c>
    </row>
    <row r="30" spans="1:19" ht="15" customHeight="1" x14ac:dyDescent="0.25">
      <c r="A30" s="180" t="s">
        <v>45</v>
      </c>
      <c r="B30" s="177" t="s">
        <v>46</v>
      </c>
      <c r="C30" s="132">
        <f>+'ENERO '!C30+FEBRERO!C30+MARZO!C30+ABRIL!C30+MAYO!C30+JUNIO!C30+JULIO!C30+AGOSTO!C30+SEPTIEMBRE!C30+OCTUBRE!C30+NOVIEMBRE!C30+DICIEMBRE!C30</f>
        <v>0</v>
      </c>
      <c r="D30" s="26">
        <f>[1]BS17A!$U29</f>
        <v>590</v>
      </c>
      <c r="E30" s="132">
        <f>+'ENERO '!E30+FEBRERO!E30+MARZO!E30+ABRIL!E30+MAYO!E30+JUNIO!E30+JULIO!E30+AGOSTO!E30+SEPTIEMBRE!E30+OCTUBRE!E30+NOVIEMBRE!E30+DICIEMBRE!E30</f>
        <v>0</v>
      </c>
      <c r="F30" s="21"/>
      <c r="G30" s="511">
        <f t="shared" si="1"/>
        <v>0</v>
      </c>
      <c r="H30" s="511">
        <f t="shared" si="2"/>
        <v>0</v>
      </c>
      <c r="I30" s="511">
        <f t="shared" si="3"/>
        <v>0</v>
      </c>
      <c r="J30" s="515">
        <f t="shared" si="4"/>
        <v>0</v>
      </c>
      <c r="S30" s="511">
        <v>0</v>
      </c>
    </row>
    <row r="31" spans="1:19" ht="15" customHeight="1" x14ac:dyDescent="0.25">
      <c r="A31" s="180" t="s">
        <v>47</v>
      </c>
      <c r="B31" s="177" t="s">
        <v>48</v>
      </c>
      <c r="C31" s="132">
        <f>+'ENERO '!C31+FEBRERO!C31+MARZO!C31+ABRIL!C31+MAYO!C31+JUNIO!C31+JULIO!C31+AGOSTO!C31+SEPTIEMBRE!C31+OCTUBRE!C31+NOVIEMBRE!C31+DICIEMBRE!C31</f>
        <v>1268</v>
      </c>
      <c r="D31" s="26">
        <f>[1]BS17A!$U30</f>
        <v>1460</v>
      </c>
      <c r="E31" s="132">
        <f>+'ENERO '!E31+FEBRERO!E31+MARZO!E31+ABRIL!E31+MAYO!E31+JUNIO!E31+JULIO!E31+AGOSTO!E31+SEPTIEMBRE!E31+OCTUBRE!E31+NOVIEMBRE!E31+DICIEMBRE!E31</f>
        <v>1889640</v>
      </c>
      <c r="F31" s="21"/>
      <c r="G31" s="511">
        <f t="shared" si="1"/>
        <v>269948.57142857142</v>
      </c>
      <c r="H31" s="511">
        <f t="shared" si="2"/>
        <v>3239382.8571428573</v>
      </c>
      <c r="I31" s="511">
        <f t="shared" si="3"/>
        <v>323938.28571428574</v>
      </c>
      <c r="J31" s="515">
        <f t="shared" si="4"/>
        <v>3563321.1428571432</v>
      </c>
      <c r="S31" s="511">
        <v>1510140</v>
      </c>
    </row>
    <row r="32" spans="1:19" ht="15" customHeight="1" x14ac:dyDescent="0.25">
      <c r="A32" s="180" t="s">
        <v>49</v>
      </c>
      <c r="B32" s="177" t="s">
        <v>50</v>
      </c>
      <c r="C32" s="132">
        <f>+'ENERO '!C32+FEBRERO!C32+MARZO!C32+ABRIL!C32+MAYO!C32+JUNIO!C32+JULIO!C32+AGOSTO!C32+SEPTIEMBRE!C32+OCTUBRE!C32+NOVIEMBRE!C32+DICIEMBRE!C32</f>
        <v>15104</v>
      </c>
      <c r="D32" s="26">
        <f>[1]BS17A!$U31</f>
        <v>1170</v>
      </c>
      <c r="E32" s="132">
        <f>+'ENERO '!E32+FEBRERO!E32+MARZO!E32+ABRIL!E32+MAYO!E32+JUNIO!E32+JULIO!E32+AGOSTO!E32+SEPTIEMBRE!E32+OCTUBRE!E32+NOVIEMBRE!E32+DICIEMBRE!E32</f>
        <v>18185920</v>
      </c>
      <c r="F32" s="21"/>
      <c r="G32" s="511">
        <f t="shared" si="1"/>
        <v>2597988.5714285714</v>
      </c>
      <c r="H32" s="511">
        <f t="shared" si="2"/>
        <v>31175862.857142858</v>
      </c>
      <c r="I32" s="511">
        <f t="shared" si="3"/>
        <v>3117586.2857142859</v>
      </c>
      <c r="J32" s="515">
        <f t="shared" si="4"/>
        <v>34293449.142857142</v>
      </c>
      <c r="S32" s="511">
        <v>13966650</v>
      </c>
    </row>
    <row r="33" spans="1:19" ht="15" customHeight="1" x14ac:dyDescent="0.25">
      <c r="A33" s="180" t="s">
        <v>51</v>
      </c>
      <c r="B33" s="194" t="s">
        <v>52</v>
      </c>
      <c r="C33" s="132">
        <f>+'ENERO '!C33+FEBRERO!C33+MARZO!C33+ABRIL!C33+MAYO!C33+JUNIO!C33+JULIO!C33+AGOSTO!C33+SEPTIEMBRE!C33+OCTUBRE!C33+NOVIEMBRE!C33+DICIEMBRE!C33</f>
        <v>0</v>
      </c>
      <c r="D33" s="26">
        <f>[1]BS17A!$U32</f>
        <v>1080</v>
      </c>
      <c r="E33" s="132">
        <f>+'ENERO '!E33+FEBRERO!E33+MARZO!E33+ABRIL!E33+MAYO!E33+JUNIO!E33+JULIO!E33+AGOSTO!E33+SEPTIEMBRE!E33+OCTUBRE!E33+NOVIEMBRE!E33+DICIEMBRE!E33</f>
        <v>0</v>
      </c>
      <c r="F33" s="21"/>
      <c r="G33" s="511">
        <f t="shared" si="1"/>
        <v>0</v>
      </c>
      <c r="H33" s="511">
        <f t="shared" si="2"/>
        <v>0</v>
      </c>
      <c r="I33" s="511">
        <f t="shared" si="3"/>
        <v>0</v>
      </c>
      <c r="J33" s="515">
        <f t="shared" si="4"/>
        <v>0</v>
      </c>
      <c r="S33" s="511">
        <v>0</v>
      </c>
    </row>
    <row r="34" spans="1:19" ht="15" customHeight="1" x14ac:dyDescent="0.25">
      <c r="A34" s="180" t="s">
        <v>53</v>
      </c>
      <c r="B34" s="177" t="s">
        <v>54</v>
      </c>
      <c r="C34" s="132">
        <f>+'ENERO '!C34+FEBRERO!C34+MARZO!C34+ABRIL!C34+MAYO!C34+JUNIO!C34+JULIO!C34+AGOSTO!C34+SEPTIEMBRE!C34+OCTUBRE!C34+NOVIEMBRE!C34+DICIEMBRE!C34</f>
        <v>3437</v>
      </c>
      <c r="D34" s="26">
        <f>+[1]BS17A!$U796</f>
        <v>2620</v>
      </c>
      <c r="E34" s="132">
        <f>+'ENERO '!E34+FEBRERO!E34+MARZO!E34+ABRIL!E34+MAYO!E34+JUNIO!E34+JULIO!E34+AGOSTO!E34+SEPTIEMBRE!E34+OCTUBRE!E34+NOVIEMBRE!E34+DICIEMBRE!E34</f>
        <v>9205660</v>
      </c>
      <c r="F34" s="21"/>
      <c r="G34" s="511">
        <f t="shared" si="1"/>
        <v>1315094.2857142857</v>
      </c>
      <c r="H34" s="511">
        <f t="shared" si="2"/>
        <v>15781131.428571429</v>
      </c>
      <c r="I34" s="511">
        <f t="shared" si="3"/>
        <v>1578113.142857143</v>
      </c>
      <c r="J34" s="515">
        <f t="shared" si="4"/>
        <v>17359244.571428571</v>
      </c>
      <c r="S34" s="511">
        <v>6859360</v>
      </c>
    </row>
    <row r="35" spans="1:19" ht="15" customHeight="1" x14ac:dyDescent="0.25">
      <c r="A35" s="180" t="s">
        <v>55</v>
      </c>
      <c r="B35" s="194" t="s">
        <v>56</v>
      </c>
      <c r="C35" s="132">
        <f>+'ENERO '!C35+FEBRERO!C35+MARZO!C35+ABRIL!C35+MAYO!C35+JUNIO!C35+JULIO!C35+AGOSTO!C35+SEPTIEMBRE!C35+OCTUBRE!C35+NOVIEMBRE!C35+DICIEMBRE!C35</f>
        <v>5432</v>
      </c>
      <c r="D35" s="26">
        <f>+[1]BS17A!$U797</f>
        <v>2620</v>
      </c>
      <c r="E35" s="132">
        <f>+'ENERO '!E35+FEBRERO!E35+MARZO!E35+ABRIL!E35+MAYO!E35+JUNIO!E35+JULIO!E35+AGOSTO!E35+SEPTIEMBRE!E35+OCTUBRE!E35+NOVIEMBRE!E35+DICIEMBRE!E35</f>
        <v>14560560</v>
      </c>
      <c r="F35" s="21"/>
      <c r="G35" s="511">
        <f t="shared" si="1"/>
        <v>2080080</v>
      </c>
      <c r="H35" s="511">
        <f t="shared" si="2"/>
        <v>24960960</v>
      </c>
      <c r="I35" s="511">
        <f t="shared" si="3"/>
        <v>2496096</v>
      </c>
      <c r="J35" s="515">
        <f t="shared" si="4"/>
        <v>27457056</v>
      </c>
      <c r="S35" s="511">
        <v>11037060</v>
      </c>
    </row>
    <row r="36" spans="1:19" ht="15" customHeight="1" x14ac:dyDescent="0.25">
      <c r="A36" s="180" t="s">
        <v>57</v>
      </c>
      <c r="B36" s="194" t="s">
        <v>58</v>
      </c>
      <c r="C36" s="132">
        <f>+'ENERO '!C36+FEBRERO!C36+MARZO!C36+ABRIL!C36+MAYO!C36+JUNIO!C36+JULIO!C36+AGOSTO!C36+SEPTIEMBRE!C36+OCTUBRE!C36+NOVIEMBRE!C36+DICIEMBRE!C36</f>
        <v>31</v>
      </c>
      <c r="D36" s="26">
        <f>+[1]BS17A!$U798</f>
        <v>10450</v>
      </c>
      <c r="E36" s="132">
        <f>+'ENERO '!E36+FEBRERO!E36+MARZO!E36+ABRIL!E36+MAYO!E36+JUNIO!E36+JULIO!E36+AGOSTO!E36+SEPTIEMBRE!E36+OCTUBRE!E36+NOVIEMBRE!E36+DICIEMBRE!E36</f>
        <v>333560</v>
      </c>
      <c r="F36" s="21"/>
      <c r="G36" s="511">
        <f t="shared" si="1"/>
        <v>47651.428571428572</v>
      </c>
      <c r="H36" s="511">
        <f t="shared" si="2"/>
        <v>571817.14285714284</v>
      </c>
      <c r="I36" s="511">
        <f t="shared" si="3"/>
        <v>57181.71428571429</v>
      </c>
      <c r="J36" s="515">
        <f t="shared" si="4"/>
        <v>628998.85714285716</v>
      </c>
      <c r="S36" s="511">
        <v>215200</v>
      </c>
    </row>
    <row r="37" spans="1:19" ht="15" customHeight="1" x14ac:dyDescent="0.25">
      <c r="A37" s="181" t="s">
        <v>59</v>
      </c>
      <c r="B37" s="224" t="s">
        <v>60</v>
      </c>
      <c r="C37" s="132">
        <f>+'ENERO '!C37+FEBRERO!C37+MARZO!C37+ABRIL!C37+MAYO!C37+JUNIO!C37+JULIO!C37+AGOSTO!C37+SEPTIEMBRE!C37+OCTUBRE!C37+NOVIEMBRE!C37+DICIEMBRE!C37</f>
        <v>477</v>
      </c>
      <c r="D37" s="28">
        <f>+[1]BS17A!$U799</f>
        <v>12230</v>
      </c>
      <c r="E37" s="132">
        <f>+'ENERO '!E37+FEBRERO!E37+MARZO!E37+ABRIL!E37+MAYO!E37+JUNIO!E37+JULIO!E37+AGOSTO!E37+SEPTIEMBRE!E37+OCTUBRE!E37+NOVIEMBRE!E37+DICIEMBRE!E37</f>
        <v>5968390</v>
      </c>
      <c r="F37" s="21"/>
      <c r="G37" s="511">
        <f t="shared" si="1"/>
        <v>852627.14285714284</v>
      </c>
      <c r="H37" s="511">
        <f t="shared" si="2"/>
        <v>10231525.714285715</v>
      </c>
      <c r="I37" s="511">
        <f t="shared" si="3"/>
        <v>1023152.5714285715</v>
      </c>
      <c r="J37" s="515">
        <f t="shared" si="4"/>
        <v>11254678.285714285</v>
      </c>
      <c r="S37" s="511">
        <v>5061190</v>
      </c>
    </row>
    <row r="38" spans="1:19" ht="18" customHeight="1" x14ac:dyDescent="0.25">
      <c r="A38" s="557" t="s">
        <v>61</v>
      </c>
      <c r="B38" s="558"/>
      <c r="C38" s="558"/>
      <c r="D38" s="558"/>
      <c r="E38" s="559"/>
      <c r="F38" s="21"/>
      <c r="G38" s="511">
        <f t="shared" si="1"/>
        <v>0</v>
      </c>
      <c r="H38" s="511">
        <f t="shared" si="2"/>
        <v>0</v>
      </c>
      <c r="I38" s="511">
        <f t="shared" si="3"/>
        <v>0</v>
      </c>
      <c r="J38" s="515">
        <f t="shared" si="4"/>
        <v>0</v>
      </c>
    </row>
    <row r="39" spans="1:19" ht="15" customHeight="1" x14ac:dyDescent="0.25">
      <c r="A39" s="179" t="s">
        <v>62</v>
      </c>
      <c r="B39" s="175" t="s">
        <v>63</v>
      </c>
      <c r="C39" s="132">
        <f>+'ENERO '!C39+FEBRERO!C39+MARZO!C39+ABRIL!C39+MAYO!C39+JUNIO!C39+JULIO!C39+AGOSTO!C39+SEPTIEMBRE!C39+OCTUBRE!C39+NOVIEMBRE!C39+DICIEMBRE!C39</f>
        <v>0</v>
      </c>
      <c r="D39" s="31">
        <f>+[1]BS17A!$U801</f>
        <v>3450</v>
      </c>
      <c r="E39" s="132">
        <f>+'ENERO '!E39+FEBRERO!E39+MARZO!E39+ABRIL!E39+MAYO!E39+JUNIO!E39+JULIO!E39+AGOSTO!E39+SEPTIEMBRE!E39+OCTUBRE!E39+NOVIEMBRE!E39+DICIEMBRE!E39</f>
        <v>0</v>
      </c>
      <c r="F39" s="21"/>
      <c r="G39" s="511">
        <f t="shared" si="1"/>
        <v>0</v>
      </c>
      <c r="H39" s="511">
        <f t="shared" si="2"/>
        <v>0</v>
      </c>
      <c r="I39" s="511">
        <f t="shared" si="3"/>
        <v>0</v>
      </c>
      <c r="J39" s="515">
        <f t="shared" si="4"/>
        <v>0</v>
      </c>
    </row>
    <row r="40" spans="1:19" ht="15" customHeight="1" x14ac:dyDescent="0.25">
      <c r="A40" s="181" t="s">
        <v>64</v>
      </c>
      <c r="B40" s="189" t="s">
        <v>65</v>
      </c>
      <c r="C40" s="132">
        <f>+'ENERO '!C40+FEBRERO!C40+MARZO!C40+ABRIL!C40+MAYO!C40+JUNIO!C40+JULIO!C40+AGOSTO!C40+SEPTIEMBRE!C40+OCTUBRE!C40+NOVIEMBRE!C40+DICIEMBRE!C40</f>
        <v>0</v>
      </c>
      <c r="D40" s="33">
        <f>+[1]BS17A!$U802</f>
        <v>8909</v>
      </c>
      <c r="E40" s="132">
        <f>+'ENERO '!E40+FEBRERO!E40+MARZO!E40+ABRIL!E40+MAYO!E40+JUNIO!E40+JULIO!E40+AGOSTO!E40+SEPTIEMBRE!E40+OCTUBRE!E40+NOVIEMBRE!E40+DICIEMBRE!E40</f>
        <v>0</v>
      </c>
      <c r="F40" s="21"/>
      <c r="G40" s="511">
        <f t="shared" si="1"/>
        <v>0</v>
      </c>
      <c r="H40" s="511">
        <f t="shared" si="2"/>
        <v>0</v>
      </c>
      <c r="I40" s="511">
        <f t="shared" si="3"/>
        <v>0</v>
      </c>
      <c r="J40" s="515">
        <f t="shared" si="4"/>
        <v>0</v>
      </c>
    </row>
    <row r="41" spans="1:19" ht="18" customHeight="1" x14ac:dyDescent="0.25">
      <c r="A41" s="557" t="s">
        <v>66</v>
      </c>
      <c r="B41" s="558"/>
      <c r="C41" s="558"/>
      <c r="D41" s="558"/>
      <c r="E41" s="559"/>
      <c r="F41" s="21"/>
      <c r="G41" s="511">
        <f t="shared" si="1"/>
        <v>0</v>
      </c>
      <c r="H41" s="511">
        <f t="shared" si="2"/>
        <v>0</v>
      </c>
      <c r="I41" s="511">
        <f t="shared" si="3"/>
        <v>0</v>
      </c>
      <c r="J41" s="515">
        <f t="shared" si="4"/>
        <v>0</v>
      </c>
    </row>
    <row r="42" spans="1:19" ht="15" customHeight="1" x14ac:dyDescent="0.25">
      <c r="A42" s="179" t="s">
        <v>67</v>
      </c>
      <c r="B42" s="196" t="s">
        <v>68</v>
      </c>
      <c r="C42" s="132">
        <f>+'ENERO '!C42+FEBRERO!C42+MARZO!C42+ABRIL!C42+MAYO!C42+JUNIO!C42+JULIO!C42+AGOSTO!C42+SEPTIEMBRE!C42+OCTUBRE!C42+NOVIEMBRE!C42+DICIEMBRE!C42</f>
        <v>500</v>
      </c>
      <c r="D42" s="31">
        <f>+[1]BS17A!$U34</f>
        <v>3530</v>
      </c>
      <c r="E42" s="132">
        <f>+'ENERO '!E42+FEBRERO!E42+MARZO!E42+ABRIL!E42+MAYO!E42+JUNIO!E42+JULIO!E42+AGOSTO!E42+SEPTIEMBRE!E42+OCTUBRE!E42+NOVIEMBRE!E42+DICIEMBRE!E42</f>
        <v>1800090</v>
      </c>
      <c r="F42" s="21"/>
      <c r="G42" s="511">
        <f t="shared" si="1"/>
        <v>257155.71428571429</v>
      </c>
      <c r="H42" s="511">
        <f t="shared" si="2"/>
        <v>3085868.5714285714</v>
      </c>
      <c r="I42" s="511">
        <f t="shared" si="3"/>
        <v>308586.85714285716</v>
      </c>
      <c r="J42" s="515">
        <f t="shared" si="4"/>
        <v>3394455.4285714286</v>
      </c>
      <c r="S42" s="532">
        <v>1294130</v>
      </c>
    </row>
    <row r="43" spans="1:19" ht="15" customHeight="1" x14ac:dyDescent="0.25">
      <c r="A43" s="180" t="s">
        <v>69</v>
      </c>
      <c r="B43" s="177" t="s">
        <v>70</v>
      </c>
      <c r="C43" s="132">
        <f>+'ENERO '!C43+FEBRERO!C43+MARZO!C43+ABRIL!C43+MAYO!C43+JUNIO!C43+JULIO!C43+AGOSTO!C43+SEPTIEMBRE!C43+OCTUBRE!C43+NOVIEMBRE!C43+DICIEMBRE!C43</f>
        <v>7620</v>
      </c>
      <c r="D43" s="26">
        <f>+[1]BS17A!$U35</f>
        <v>1940</v>
      </c>
      <c r="E43" s="132">
        <f>+'ENERO '!E43+FEBRERO!E43+MARZO!E43+ABRIL!E43+MAYO!E43+JUNIO!E43+JULIO!E43+AGOSTO!E43+SEPTIEMBRE!E43+OCTUBRE!E43+NOVIEMBRE!E43+DICIEMBRE!E43</f>
        <v>15145260</v>
      </c>
      <c r="F43" s="21"/>
      <c r="G43" s="511">
        <f t="shared" si="1"/>
        <v>2163608.5714285714</v>
      </c>
      <c r="H43" s="511">
        <f t="shared" si="2"/>
        <v>25963302.857142858</v>
      </c>
      <c r="I43" s="511">
        <f t="shared" si="3"/>
        <v>2596330.2857142859</v>
      </c>
      <c r="J43" s="515">
        <f t="shared" si="4"/>
        <v>28559633.142857146</v>
      </c>
      <c r="S43" s="532">
        <v>11049260</v>
      </c>
    </row>
    <row r="44" spans="1:19" ht="15" customHeight="1" x14ac:dyDescent="0.25">
      <c r="A44" s="180" t="s">
        <v>71</v>
      </c>
      <c r="B44" s="177" t="s">
        <v>72</v>
      </c>
      <c r="C44" s="132">
        <f>+'ENERO '!C44+FEBRERO!C44+MARZO!C44+ABRIL!C44+MAYO!C44+JUNIO!C44+JULIO!C44+AGOSTO!C44+SEPTIEMBRE!C44+OCTUBRE!C44+NOVIEMBRE!C44+DICIEMBRE!C44</f>
        <v>615</v>
      </c>
      <c r="D44" s="26">
        <f>+[1]BS17A!$U36</f>
        <v>1940</v>
      </c>
      <c r="E44" s="132">
        <f>+'ENERO '!E44+FEBRERO!E44+MARZO!E44+ABRIL!E44+MAYO!E44+JUNIO!E44+JULIO!E44+AGOSTO!E44+SEPTIEMBRE!E44+OCTUBRE!E44+NOVIEMBRE!E44+DICIEMBRE!E44</f>
        <v>1193520</v>
      </c>
      <c r="F44" s="21"/>
      <c r="G44" s="511">
        <f t="shared" si="1"/>
        <v>170502.85714285713</v>
      </c>
      <c r="H44" s="511">
        <f t="shared" si="2"/>
        <v>2046034.2857142854</v>
      </c>
      <c r="I44" s="511">
        <f t="shared" si="3"/>
        <v>204603.42857142855</v>
      </c>
      <c r="J44" s="515">
        <f t="shared" si="4"/>
        <v>2250637.7142857141</v>
      </c>
      <c r="S44" s="532">
        <v>1187520</v>
      </c>
    </row>
    <row r="45" spans="1:19" ht="15" customHeight="1" x14ac:dyDescent="0.25">
      <c r="A45" s="181" t="s">
        <v>73</v>
      </c>
      <c r="B45" s="178" t="s">
        <v>74</v>
      </c>
      <c r="C45" s="132">
        <f>+'ENERO '!C45+FEBRERO!C45+MARZO!C45+ABRIL!C45+MAYO!C45+JUNIO!C45+JULIO!C45+AGOSTO!C45+SEPTIEMBRE!C45+OCTUBRE!C45+NOVIEMBRE!C45+DICIEMBRE!C45</f>
        <v>7221</v>
      </c>
      <c r="D45" s="33">
        <f>+[1]BS17A!$U37</f>
        <v>590</v>
      </c>
      <c r="E45" s="132">
        <f>+'ENERO '!E45+FEBRERO!E45+MARZO!E45+ABRIL!E45+MAYO!E45+JUNIO!E45+JULIO!E45+AGOSTO!E45+SEPTIEMBRE!E45+OCTUBRE!E45+NOVIEMBRE!E45+DICIEMBRE!E45</f>
        <v>4384130</v>
      </c>
      <c r="F45" s="21"/>
      <c r="G45" s="511">
        <f t="shared" si="1"/>
        <v>626304.28571428568</v>
      </c>
      <c r="H45" s="511">
        <f t="shared" si="2"/>
        <v>7515651.4285714282</v>
      </c>
      <c r="I45" s="511">
        <f t="shared" si="3"/>
        <v>751565.14285714284</v>
      </c>
      <c r="J45" s="515">
        <f t="shared" si="4"/>
        <v>8267216.5714285709</v>
      </c>
      <c r="S45" s="532">
        <v>3216590</v>
      </c>
    </row>
    <row r="46" spans="1:19" ht="18" customHeight="1" x14ac:dyDescent="0.25">
      <c r="A46" s="557" t="s">
        <v>75</v>
      </c>
      <c r="B46" s="558"/>
      <c r="C46" s="558"/>
      <c r="D46" s="558"/>
      <c r="E46" s="559"/>
      <c r="F46" s="21"/>
      <c r="G46" s="511">
        <f t="shared" si="1"/>
        <v>0</v>
      </c>
      <c r="H46" s="511">
        <f t="shared" si="2"/>
        <v>0</v>
      </c>
      <c r="I46" s="511">
        <f t="shared" si="3"/>
        <v>0</v>
      </c>
      <c r="J46" s="515">
        <f t="shared" si="4"/>
        <v>0</v>
      </c>
    </row>
    <row r="47" spans="1:19" ht="15" customHeight="1" x14ac:dyDescent="0.25">
      <c r="A47" s="179" t="s">
        <v>76</v>
      </c>
      <c r="B47" s="196" t="s">
        <v>77</v>
      </c>
      <c r="C47" s="132">
        <f>+'ENERO '!C47+FEBRERO!C47+MARZO!C47+ABRIL!C47+MAYO!C47+JUNIO!C47+JULIO!C47+AGOSTO!C47+SEPTIEMBRE!C47+OCTUBRE!C47+NOVIEMBRE!C47+DICIEMBRE!C47</f>
        <v>78</v>
      </c>
      <c r="D47" s="31">
        <f>+[1]BS17A!$U39</f>
        <v>1680</v>
      </c>
      <c r="E47" s="132">
        <f>+'ENERO '!E47+FEBRERO!E47+MARZO!E47+ABRIL!E47+MAYO!E47+JUNIO!E47+JULIO!E47+AGOSTO!E47+SEPTIEMBRE!E47+OCTUBRE!E47+NOVIEMBRE!E47+DICIEMBRE!E47</f>
        <v>133490</v>
      </c>
      <c r="F47" s="21"/>
      <c r="G47" s="511">
        <f t="shared" si="1"/>
        <v>19070</v>
      </c>
      <c r="H47" s="511">
        <f t="shared" si="2"/>
        <v>228840</v>
      </c>
      <c r="I47" s="511">
        <f t="shared" si="3"/>
        <v>22884</v>
      </c>
      <c r="J47" s="515">
        <f t="shared" si="4"/>
        <v>251724</v>
      </c>
      <c r="S47" s="511">
        <v>109270</v>
      </c>
    </row>
    <row r="48" spans="1:19" ht="15" customHeight="1" x14ac:dyDescent="0.25">
      <c r="A48" s="180" t="s">
        <v>78</v>
      </c>
      <c r="B48" s="177" t="s">
        <v>79</v>
      </c>
      <c r="C48" s="132">
        <f>+'ENERO '!C48+FEBRERO!C48+MARZO!C48+ABRIL!C48+MAYO!C48+JUNIO!C48+JULIO!C48+AGOSTO!C48+SEPTIEMBRE!C48+OCTUBRE!C48+NOVIEMBRE!C48+DICIEMBRE!C48</f>
        <v>272</v>
      </c>
      <c r="D48" s="26">
        <f>+[1]BS17A!$U40</f>
        <v>1680</v>
      </c>
      <c r="E48" s="132">
        <f>+'ENERO '!E48+FEBRERO!E48+MARZO!E48+ABRIL!E48+MAYO!E48+JUNIO!E48+JULIO!E48+AGOSTO!E48+SEPTIEMBRE!E48+OCTUBRE!E48+NOVIEMBRE!E48+DICIEMBRE!E48</f>
        <v>467810</v>
      </c>
      <c r="F48" s="21"/>
      <c r="G48" s="511">
        <f t="shared" si="1"/>
        <v>66830</v>
      </c>
      <c r="H48" s="511">
        <f t="shared" si="2"/>
        <v>801960</v>
      </c>
      <c r="I48" s="511">
        <f t="shared" si="3"/>
        <v>80196</v>
      </c>
      <c r="J48" s="515">
        <f t="shared" si="4"/>
        <v>882156</v>
      </c>
      <c r="S48" s="511">
        <v>348440</v>
      </c>
    </row>
    <row r="49" spans="1:19" ht="15" customHeight="1" x14ac:dyDescent="0.25">
      <c r="A49" s="181" t="s">
        <v>80</v>
      </c>
      <c r="B49" s="178" t="s">
        <v>81</v>
      </c>
      <c r="C49" s="132">
        <f>+'ENERO '!C49+FEBRERO!C49+MARZO!C49+ABRIL!C49+MAYO!C49+JUNIO!C49+JULIO!C49+AGOSTO!C49+SEPTIEMBRE!C49+OCTUBRE!C49+NOVIEMBRE!C49+DICIEMBRE!C49</f>
        <v>0</v>
      </c>
      <c r="D49" s="33">
        <f>+[1]BS17A!$U41</f>
        <v>970</v>
      </c>
      <c r="E49" s="132">
        <f>+'ENERO '!E49+FEBRERO!E49+MARZO!E49+ABRIL!E49+MAYO!E49+JUNIO!E49+JULIO!E49+AGOSTO!E49+SEPTIEMBRE!E49+OCTUBRE!E49+NOVIEMBRE!E49+DICIEMBRE!E49</f>
        <v>0</v>
      </c>
      <c r="F49" s="21"/>
      <c r="G49" s="511">
        <f t="shared" si="1"/>
        <v>0</v>
      </c>
      <c r="H49" s="511">
        <f t="shared" si="2"/>
        <v>0</v>
      </c>
      <c r="I49" s="511">
        <f t="shared" si="3"/>
        <v>0</v>
      </c>
      <c r="J49" s="515">
        <f t="shared" si="4"/>
        <v>0</v>
      </c>
      <c r="S49" s="511">
        <v>0</v>
      </c>
    </row>
    <row r="50" spans="1:19" ht="18" customHeight="1" x14ac:dyDescent="0.25">
      <c r="A50" s="35"/>
      <c r="B50" s="157" t="s">
        <v>82</v>
      </c>
      <c r="C50" s="35">
        <f>SUM(C14:C49)</f>
        <v>207554</v>
      </c>
      <c r="D50" s="35"/>
      <c r="E50" s="35">
        <f t="shared" ref="E50" si="5">SUM(E14:E49)</f>
        <v>1434351580</v>
      </c>
      <c r="F50" s="21"/>
      <c r="G50" s="511">
        <f t="shared" si="1"/>
        <v>204907368.57142857</v>
      </c>
      <c r="H50" s="511">
        <f t="shared" si="2"/>
        <v>2458888422.8571429</v>
      </c>
      <c r="I50" s="511">
        <f t="shared" si="3"/>
        <v>245888842.2857143</v>
      </c>
      <c r="J50" s="515">
        <f t="shared" si="4"/>
        <v>2704777265.1428571</v>
      </c>
      <c r="S50" s="511">
        <v>1068892100</v>
      </c>
    </row>
    <row r="51" spans="1:19" ht="18" customHeight="1" x14ac:dyDescent="0.25">
      <c r="A51" s="38"/>
      <c r="B51" s="38"/>
      <c r="C51" s="38"/>
      <c r="D51" s="39"/>
      <c r="E51" s="40"/>
      <c r="F51" s="21"/>
      <c r="G51" s="511">
        <f t="shared" si="1"/>
        <v>0</v>
      </c>
      <c r="H51" s="511">
        <f t="shared" si="2"/>
        <v>0</v>
      </c>
      <c r="I51" s="511">
        <f t="shared" si="3"/>
        <v>0</v>
      </c>
      <c r="J51" s="515">
        <f t="shared" si="4"/>
        <v>0</v>
      </c>
    </row>
    <row r="52" spans="1:19" x14ac:dyDescent="0.25">
      <c r="A52" s="21"/>
      <c r="B52" s="21"/>
      <c r="C52" s="21"/>
      <c r="D52" s="21"/>
      <c r="E52" s="21"/>
      <c r="F52" s="41"/>
      <c r="G52" s="511">
        <f t="shared" si="1"/>
        <v>0</v>
      </c>
      <c r="H52" s="511">
        <f t="shared" si="2"/>
        <v>0</v>
      </c>
      <c r="I52" s="511">
        <f t="shared" si="3"/>
        <v>0</v>
      </c>
      <c r="J52" s="515">
        <f t="shared" si="4"/>
        <v>0</v>
      </c>
    </row>
    <row r="53" spans="1:19" x14ac:dyDescent="0.25">
      <c r="A53" s="557" t="s">
        <v>83</v>
      </c>
      <c r="B53" s="558"/>
      <c r="C53" s="558"/>
      <c r="D53" s="558"/>
      <c r="E53" s="559"/>
      <c r="F53" s="41"/>
      <c r="G53" s="511">
        <f t="shared" si="1"/>
        <v>0</v>
      </c>
      <c r="H53" s="511">
        <f t="shared" si="2"/>
        <v>0</v>
      </c>
      <c r="I53" s="511">
        <f t="shared" si="3"/>
        <v>0</v>
      </c>
      <c r="J53" s="515">
        <f t="shared" si="4"/>
        <v>0</v>
      </c>
    </row>
    <row r="54" spans="1:19" ht="42.75" customHeight="1" x14ac:dyDescent="0.25">
      <c r="A54" s="1" t="s">
        <v>8</v>
      </c>
      <c r="B54" s="1" t="s">
        <v>84</v>
      </c>
      <c r="C54" s="227" t="s">
        <v>10</v>
      </c>
      <c r="D54" s="4"/>
      <c r="E54" s="229" t="s">
        <v>12</v>
      </c>
      <c r="F54" s="21"/>
    </row>
    <row r="55" spans="1:19" ht="18" customHeight="1" x14ac:dyDescent="0.25">
      <c r="A55" s="231" t="s">
        <v>85</v>
      </c>
      <c r="B55" s="214" t="s">
        <v>86</v>
      </c>
      <c r="C55" s="503">
        <f>+'ENERO '!C55+FEBRERO!C55+MARZO!C55+ABRIL!C55+MAYO!C55+JUNIO!C55+JULIO!C55+AGOSTO!C55+SEPTIEMBRE!C55+OCTUBRE!C55+NOVIEMBRE!C55+DICIEMBRE!C55</f>
        <v>737584</v>
      </c>
      <c r="D55" s="44"/>
      <c r="E55" s="503">
        <f>+'ENERO '!E55+FEBRERO!E55+MARZO!E55+ABRIL!E55+MAYO!E55+JUNIO!E55+JULIO!E55+AGOSTO!E55+SEPTIEMBRE!E55+OCTUBRE!E55+NOVIEMBRE!E55+DICIEMBRE!E55</f>
        <v>1015681870</v>
      </c>
      <c r="F55" s="21"/>
      <c r="G55" s="511">
        <f t="shared" si="1"/>
        <v>145097410</v>
      </c>
      <c r="H55" s="511">
        <f t="shared" si="2"/>
        <v>1741168920</v>
      </c>
      <c r="I55" s="511">
        <f t="shared" si="3"/>
        <v>174116892</v>
      </c>
      <c r="J55" s="515">
        <f t="shared" si="4"/>
        <v>1915285812</v>
      </c>
      <c r="S55" s="503">
        <v>770127590</v>
      </c>
    </row>
    <row r="56" spans="1:19" ht="15" customHeight="1" x14ac:dyDescent="0.25">
      <c r="A56" s="212" t="s">
        <v>87</v>
      </c>
      <c r="B56" s="188" t="s">
        <v>88</v>
      </c>
      <c r="C56" s="132">
        <f>+'ENERO '!C56+FEBRERO!C56+MARZO!C56+ABRIL!C56+MAYO!C56+JUNIO!C56+JULIO!C56+AGOSTO!C56+SEPTIEMBRE!C56+OCTUBRE!C56+NOVIEMBRE!C56+DICIEMBRE!C56</f>
        <v>286899</v>
      </c>
      <c r="D56" s="46"/>
      <c r="E56" s="132">
        <f>+'ENERO '!E56+FEBRERO!E56+MARZO!E56+ABRIL!E56+MAYO!E56+JUNIO!E56+JULIO!E56+AGOSTO!E56+SEPTIEMBRE!E56+OCTUBRE!E56+NOVIEMBRE!E56+DICIEMBRE!E56</f>
        <v>295040290</v>
      </c>
      <c r="F56" s="21"/>
      <c r="G56" s="511">
        <f t="shared" si="1"/>
        <v>42148612.857142858</v>
      </c>
      <c r="H56" s="511">
        <f t="shared" si="2"/>
        <v>505783354.28571427</v>
      </c>
      <c r="I56" s="511">
        <f t="shared" si="3"/>
        <v>50578335.428571433</v>
      </c>
      <c r="J56" s="515">
        <f t="shared" si="4"/>
        <v>556361689.71428573</v>
      </c>
      <c r="S56" s="511">
        <v>221530470</v>
      </c>
    </row>
    <row r="57" spans="1:19" ht="15" customHeight="1" x14ac:dyDescent="0.25">
      <c r="A57" s="180" t="s">
        <v>89</v>
      </c>
      <c r="B57" s="176" t="s">
        <v>90</v>
      </c>
      <c r="C57" s="132">
        <f>+'ENERO '!C57+FEBRERO!C57+MARZO!C57+ABRIL!C57+MAYO!C57+JUNIO!C57+JULIO!C57+AGOSTO!C57+SEPTIEMBRE!C57+OCTUBRE!C57+NOVIEMBRE!C57+DICIEMBRE!C57</f>
        <v>318622</v>
      </c>
      <c r="D57" s="49"/>
      <c r="E57" s="132">
        <f>+'ENERO '!E57+FEBRERO!E57+MARZO!E57+ABRIL!E57+MAYO!E57+JUNIO!E57+JULIO!E57+AGOSTO!E57+SEPTIEMBRE!E57+OCTUBRE!E57+NOVIEMBRE!E57+DICIEMBRE!E57</f>
        <v>374839950</v>
      </c>
      <c r="F57" s="21"/>
      <c r="G57" s="511">
        <f t="shared" si="1"/>
        <v>53548564.285714284</v>
      </c>
      <c r="H57" s="511">
        <f t="shared" si="2"/>
        <v>642582771.42857146</v>
      </c>
      <c r="I57" s="511">
        <f t="shared" si="3"/>
        <v>64258277.142857149</v>
      </c>
      <c r="J57" s="515">
        <f t="shared" si="4"/>
        <v>706841048.57142866</v>
      </c>
      <c r="S57" s="511">
        <v>285308700</v>
      </c>
    </row>
    <row r="58" spans="1:19" ht="15" customHeight="1" x14ac:dyDescent="0.25">
      <c r="A58" s="180" t="s">
        <v>91</v>
      </c>
      <c r="B58" s="176" t="s">
        <v>92</v>
      </c>
      <c r="C58" s="132">
        <f>+'ENERO '!C58+FEBRERO!C58+MARZO!C58+ABRIL!C58+MAYO!C58+JUNIO!C58+JULIO!C58+AGOSTO!C58+SEPTIEMBRE!C58+OCTUBRE!C58+NOVIEMBRE!C58+DICIEMBRE!C58</f>
        <v>13964</v>
      </c>
      <c r="D58" s="49"/>
      <c r="E58" s="132">
        <f>+'ENERO '!E58+FEBRERO!E58+MARZO!E58+ABRIL!E58+MAYO!E58+JUNIO!E58+JULIO!E58+AGOSTO!E58+SEPTIEMBRE!E58+OCTUBRE!E58+NOVIEMBRE!E58+DICIEMBRE!E58</f>
        <v>48437340</v>
      </c>
      <c r="F58" s="21"/>
      <c r="G58" s="511">
        <f t="shared" si="1"/>
        <v>6919620</v>
      </c>
      <c r="H58" s="511">
        <f t="shared" si="2"/>
        <v>83035440</v>
      </c>
      <c r="I58" s="511">
        <f t="shared" si="3"/>
        <v>8303544</v>
      </c>
      <c r="J58" s="515">
        <f t="shared" si="4"/>
        <v>91338984</v>
      </c>
      <c r="S58" s="511">
        <v>37525890</v>
      </c>
    </row>
    <row r="59" spans="1:19" ht="15" customHeight="1" x14ac:dyDescent="0.25">
      <c r="A59" s="180" t="s">
        <v>93</v>
      </c>
      <c r="B59" s="176" t="s">
        <v>94</v>
      </c>
      <c r="C59" s="132">
        <f>+'ENERO '!C59+FEBRERO!C59+MARZO!C59+ABRIL!C59+MAYO!C59+JUNIO!C59+JULIO!C59+AGOSTO!C59+SEPTIEMBRE!C59+OCTUBRE!C59+NOVIEMBRE!C59+DICIEMBRE!C59</f>
        <v>0</v>
      </c>
      <c r="D59" s="49"/>
      <c r="E59" s="132">
        <f>+'ENERO '!E59+FEBRERO!E59+MARZO!E59+ABRIL!E59+MAYO!E59+JUNIO!E59+JULIO!E59+AGOSTO!E59+SEPTIEMBRE!E59+OCTUBRE!E59+NOVIEMBRE!E59+DICIEMBRE!E59</f>
        <v>0</v>
      </c>
      <c r="F59" s="21"/>
      <c r="G59" s="511">
        <f t="shared" si="1"/>
        <v>0</v>
      </c>
      <c r="H59" s="511">
        <f t="shared" si="2"/>
        <v>0</v>
      </c>
      <c r="I59" s="511">
        <f t="shared" si="3"/>
        <v>0</v>
      </c>
      <c r="J59" s="515">
        <f t="shared" si="4"/>
        <v>0</v>
      </c>
      <c r="S59" s="511">
        <v>0</v>
      </c>
    </row>
    <row r="60" spans="1:19" ht="15" customHeight="1" x14ac:dyDescent="0.25">
      <c r="A60" s="207" t="s">
        <v>95</v>
      </c>
      <c r="B60" s="195" t="s">
        <v>96</v>
      </c>
      <c r="C60" s="132">
        <f>+'ENERO '!C60+FEBRERO!C60+MARZO!C60+ABRIL!C60+MAYO!C60+JUNIO!C60+JULIO!C60+AGOSTO!C60+SEPTIEMBRE!C60+OCTUBRE!C60+NOVIEMBRE!C60+DICIEMBRE!C60</f>
        <v>18242</v>
      </c>
      <c r="D60" s="51"/>
      <c r="E60" s="132">
        <f>+'ENERO '!E60+FEBRERO!E60+MARZO!E60+ABRIL!E60+MAYO!E60+JUNIO!E60+JULIO!E60+AGOSTO!E60+SEPTIEMBRE!E60+OCTUBRE!E60+NOVIEMBRE!E60+DICIEMBRE!E60</f>
        <v>85418620</v>
      </c>
      <c r="F60" s="21"/>
      <c r="G60" s="511">
        <f t="shared" si="1"/>
        <v>12202660</v>
      </c>
      <c r="H60" s="511">
        <f t="shared" si="2"/>
        <v>146431920</v>
      </c>
      <c r="I60" s="511">
        <f t="shared" si="3"/>
        <v>14643192</v>
      </c>
      <c r="J60" s="515">
        <f t="shared" si="4"/>
        <v>161075112</v>
      </c>
      <c r="S60" s="511">
        <v>63209790</v>
      </c>
    </row>
    <row r="61" spans="1:19" ht="15" customHeight="1" x14ac:dyDescent="0.25">
      <c r="A61" s="179" t="s">
        <v>97</v>
      </c>
      <c r="B61" s="215" t="s">
        <v>98</v>
      </c>
      <c r="C61" s="132">
        <f>+'ENERO '!C61+FEBRERO!C61+MARZO!C61+ABRIL!C61+MAYO!C61+JUNIO!C61+JULIO!C61+AGOSTO!C61+SEPTIEMBRE!C61+OCTUBRE!C61+NOVIEMBRE!C61+DICIEMBRE!C61</f>
        <v>64254</v>
      </c>
      <c r="D61" s="53"/>
      <c r="E61" s="132">
        <f>+'ENERO '!E61+FEBRERO!E61+MARZO!E61+ABRIL!E61+MAYO!E61+JUNIO!E61+JULIO!E61+AGOSTO!E61+SEPTIEMBRE!E61+OCTUBRE!E61+NOVIEMBRE!E61+DICIEMBRE!E61</f>
        <v>167734850</v>
      </c>
      <c r="F61" s="21"/>
      <c r="G61" s="511">
        <f t="shared" si="1"/>
        <v>23962121.428571429</v>
      </c>
      <c r="H61" s="511">
        <f t="shared" si="2"/>
        <v>287545457.14285713</v>
      </c>
      <c r="I61" s="511">
        <f t="shared" si="3"/>
        <v>28754545.714285716</v>
      </c>
      <c r="J61" s="515">
        <f t="shared" si="4"/>
        <v>316300002.85714287</v>
      </c>
      <c r="S61" s="511">
        <v>129655380</v>
      </c>
    </row>
    <row r="62" spans="1:19" ht="15" customHeight="1" x14ac:dyDescent="0.25">
      <c r="A62" s="218"/>
      <c r="B62" s="196" t="s">
        <v>99</v>
      </c>
      <c r="C62" s="132">
        <f>+'ENERO '!C62+FEBRERO!C62+MARZO!C62+ABRIL!C62+MAYO!C62+JUNIO!C62+JULIO!C62+AGOSTO!C62+SEPTIEMBRE!C62+OCTUBRE!C62+NOVIEMBRE!C62+DICIEMBRE!C62</f>
        <v>50942</v>
      </c>
      <c r="D62" s="55"/>
      <c r="E62" s="132">
        <f>+'ENERO '!E62+FEBRERO!E62+MARZO!E62+ABRIL!E62+MAYO!E62+JUNIO!E62+JULIO!E62+AGOSTO!E62+SEPTIEMBRE!E62+OCTUBRE!E62+NOVIEMBRE!E62+DICIEMBRE!E62</f>
        <v>115141060</v>
      </c>
      <c r="F62" s="21"/>
      <c r="G62" s="511">
        <f t="shared" si="1"/>
        <v>16448722.857142856</v>
      </c>
      <c r="H62" s="511">
        <f t="shared" si="2"/>
        <v>197384674.28571427</v>
      </c>
      <c r="I62" s="511">
        <f t="shared" si="3"/>
        <v>19738467.428571429</v>
      </c>
      <c r="J62" s="515">
        <f t="shared" si="4"/>
        <v>217123141.7142857</v>
      </c>
      <c r="S62" s="511">
        <v>88161910</v>
      </c>
    </row>
    <row r="63" spans="1:19" ht="15" customHeight="1" x14ac:dyDescent="0.25">
      <c r="A63" s="218"/>
      <c r="B63" s="176" t="s">
        <v>100</v>
      </c>
      <c r="C63" s="132">
        <f>+'ENERO '!C63+FEBRERO!C63+MARZO!C63+ABRIL!C63+MAYO!C63+JUNIO!C63+JULIO!C63+AGOSTO!C63+SEPTIEMBRE!C63+OCTUBRE!C63+NOVIEMBRE!C63+DICIEMBRE!C63</f>
        <v>624</v>
      </c>
      <c r="D63" s="49"/>
      <c r="E63" s="132">
        <f>+'ENERO '!E63+FEBRERO!E63+MARZO!E63+ABRIL!E63+MAYO!E63+JUNIO!E63+JULIO!E63+AGOSTO!E63+SEPTIEMBRE!E63+OCTUBRE!E63+NOVIEMBRE!E63+DICIEMBRE!E63</f>
        <v>1709160</v>
      </c>
      <c r="F63" s="21"/>
      <c r="G63" s="511">
        <f t="shared" si="1"/>
        <v>244165.71428571429</v>
      </c>
      <c r="H63" s="511">
        <f t="shared" si="2"/>
        <v>2929988.5714285714</v>
      </c>
      <c r="I63" s="511">
        <f t="shared" si="3"/>
        <v>292998.85714285716</v>
      </c>
      <c r="J63" s="515">
        <f t="shared" si="4"/>
        <v>3222987.4285714286</v>
      </c>
      <c r="S63" s="511">
        <v>1343910</v>
      </c>
    </row>
    <row r="64" spans="1:19" ht="15" customHeight="1" x14ac:dyDescent="0.25">
      <c r="A64" s="219"/>
      <c r="B64" s="178" t="s">
        <v>101</v>
      </c>
      <c r="C64" s="132">
        <f>+'ENERO '!C64+FEBRERO!C64+MARZO!C64+ABRIL!C64+MAYO!C64+JUNIO!C64+JULIO!C64+AGOSTO!C64+SEPTIEMBRE!C64+OCTUBRE!C64+NOVIEMBRE!C64+DICIEMBRE!C64</f>
        <v>12688</v>
      </c>
      <c r="D64" s="57"/>
      <c r="E64" s="132">
        <f>+'ENERO '!E64+FEBRERO!E64+MARZO!E64+ABRIL!E64+MAYO!E64+JUNIO!E64+JULIO!E64+AGOSTO!E64+SEPTIEMBRE!E64+OCTUBRE!E64+NOVIEMBRE!E64+DICIEMBRE!E64</f>
        <v>50884630</v>
      </c>
      <c r="F64" s="21"/>
      <c r="G64" s="511">
        <f t="shared" si="1"/>
        <v>7269232.8571428573</v>
      </c>
      <c r="H64" s="511">
        <f t="shared" si="2"/>
        <v>87230794.285714284</v>
      </c>
      <c r="I64" s="511">
        <f t="shared" si="3"/>
        <v>8723079.4285714291</v>
      </c>
      <c r="J64" s="515">
        <f t="shared" si="4"/>
        <v>95953873.714285716</v>
      </c>
      <c r="S64" s="511">
        <v>40149560</v>
      </c>
    </row>
    <row r="65" spans="1:19" ht="15" customHeight="1" x14ac:dyDescent="0.25">
      <c r="A65" s="212" t="s">
        <v>102</v>
      </c>
      <c r="B65" s="211" t="s">
        <v>103</v>
      </c>
      <c r="C65" s="132">
        <f>+'ENERO '!C65+FEBRERO!C65+MARZO!C65+ABRIL!C65+MAYO!C65+JUNIO!C65+JULIO!C65+AGOSTO!C65+SEPTIEMBRE!C65+OCTUBRE!C65+NOVIEMBRE!C65+DICIEMBRE!C65</f>
        <v>0</v>
      </c>
      <c r="D65" s="46"/>
      <c r="E65" s="132">
        <f>+'ENERO '!E65+FEBRERO!E65+MARZO!E65+ABRIL!E65+MAYO!E65+JUNIO!E65+JULIO!E65+AGOSTO!E65+SEPTIEMBRE!E65+OCTUBRE!E65+NOVIEMBRE!E65+DICIEMBRE!E65</f>
        <v>0</v>
      </c>
      <c r="F65" s="21"/>
      <c r="G65" s="511">
        <f t="shared" si="1"/>
        <v>0</v>
      </c>
      <c r="H65" s="511">
        <f t="shared" si="2"/>
        <v>0</v>
      </c>
      <c r="I65" s="511">
        <f t="shared" si="3"/>
        <v>0</v>
      </c>
      <c r="J65" s="515">
        <f t="shared" si="4"/>
        <v>0</v>
      </c>
      <c r="S65" s="511">
        <v>0</v>
      </c>
    </row>
    <row r="66" spans="1:19" ht="15" customHeight="1" x14ac:dyDescent="0.25">
      <c r="A66" s="180" t="s">
        <v>104</v>
      </c>
      <c r="B66" s="176" t="s">
        <v>105</v>
      </c>
      <c r="C66" s="132">
        <f>+'ENERO '!C66+FEBRERO!C66+MARZO!C66+ABRIL!C66+MAYO!C66+JUNIO!C66+JULIO!C66+AGOSTO!C66+SEPTIEMBRE!C66+OCTUBRE!C66+NOVIEMBRE!C66+DICIEMBRE!C66</f>
        <v>930</v>
      </c>
      <c r="D66" s="49"/>
      <c r="E66" s="132">
        <f>+'ENERO '!E66+FEBRERO!E66+MARZO!E66+ABRIL!E66+MAYO!E66+JUNIO!E66+JULIO!E66+AGOSTO!E66+SEPTIEMBRE!E66+OCTUBRE!E66+NOVIEMBRE!E66+DICIEMBRE!E66</f>
        <v>1924360</v>
      </c>
      <c r="F66" s="21"/>
      <c r="G66" s="511">
        <f t="shared" si="1"/>
        <v>274908.57142857142</v>
      </c>
      <c r="H66" s="511">
        <f t="shared" si="2"/>
        <v>3298902.8571428573</v>
      </c>
      <c r="I66" s="511">
        <f t="shared" si="3"/>
        <v>329890.28571428574</v>
      </c>
      <c r="J66" s="515">
        <f t="shared" si="4"/>
        <v>3628793.1428571432</v>
      </c>
      <c r="S66" s="511">
        <v>1455200</v>
      </c>
    </row>
    <row r="67" spans="1:19" ht="15" customHeight="1" x14ac:dyDescent="0.25">
      <c r="A67" s="207" t="s">
        <v>106</v>
      </c>
      <c r="B67" s="195" t="s">
        <v>107</v>
      </c>
      <c r="C67" s="132">
        <f>+'ENERO '!C67+FEBRERO!C67+MARZO!C67+ABRIL!C67+MAYO!C67+JUNIO!C67+JULIO!C67+AGOSTO!C67+SEPTIEMBRE!C67+OCTUBRE!C67+NOVIEMBRE!C67+DICIEMBRE!C67</f>
        <v>34673</v>
      </c>
      <c r="D67" s="51"/>
      <c r="E67" s="132">
        <f>+'ENERO '!E67+FEBRERO!E67+MARZO!E67+ABRIL!E67+MAYO!E67+JUNIO!E67+JULIO!E67+AGOSTO!E67+SEPTIEMBRE!E67+OCTUBRE!E67+NOVIEMBRE!E67+DICIEMBRE!E67</f>
        <v>42286460</v>
      </c>
      <c r="F67" s="21"/>
      <c r="G67" s="511">
        <f t="shared" si="1"/>
        <v>6040922.8571428573</v>
      </c>
      <c r="H67" s="511">
        <f t="shared" si="2"/>
        <v>72491074.285714284</v>
      </c>
      <c r="I67" s="511">
        <f t="shared" si="3"/>
        <v>7249107.4285714291</v>
      </c>
      <c r="J67" s="515">
        <f t="shared" si="4"/>
        <v>79740181.714285716</v>
      </c>
      <c r="S67" s="511">
        <v>31442160</v>
      </c>
    </row>
    <row r="68" spans="1:19" ht="15" customHeight="1" x14ac:dyDescent="0.25">
      <c r="A68" s="220" t="s">
        <v>108</v>
      </c>
      <c r="B68" s="210" t="s">
        <v>109</v>
      </c>
      <c r="C68" s="132">
        <f>+'ENERO '!C68+FEBRERO!C68+MARZO!C68+ABRIL!C68+MAYO!C68+JUNIO!C68+JULIO!C68+AGOSTO!C68+SEPTIEMBRE!C68+OCTUBRE!C68+NOVIEMBRE!C68+DICIEMBRE!C68</f>
        <v>53726</v>
      </c>
      <c r="D68" s="59"/>
      <c r="E68" s="132">
        <f>+'ENERO '!E68+FEBRERO!E68+MARZO!E68+ABRIL!E68+MAYO!E68+JUNIO!E68+JULIO!E68+AGOSTO!E68+SEPTIEMBRE!E68+OCTUBRE!E68+NOVIEMBRE!E68+DICIEMBRE!E68</f>
        <v>851119990</v>
      </c>
      <c r="F68" s="21"/>
      <c r="G68" s="511">
        <f t="shared" si="1"/>
        <v>121588570</v>
      </c>
      <c r="H68" s="511">
        <f t="shared" si="2"/>
        <v>1459062840</v>
      </c>
      <c r="I68" s="511">
        <f t="shared" si="3"/>
        <v>145906284</v>
      </c>
      <c r="J68" s="515">
        <f t="shared" si="4"/>
        <v>1604969124</v>
      </c>
      <c r="S68" s="511">
        <v>625416170</v>
      </c>
    </row>
    <row r="69" spans="1:19" ht="15" customHeight="1" x14ac:dyDescent="0.25">
      <c r="A69" s="180" t="s">
        <v>110</v>
      </c>
      <c r="B69" s="176" t="s">
        <v>111</v>
      </c>
      <c r="C69" s="132">
        <f>+'ENERO '!C69+FEBRERO!C69+MARZO!C69+ABRIL!C69+MAYO!C69+JUNIO!C69+JULIO!C69+AGOSTO!C69+SEPTIEMBRE!C69+OCTUBRE!C69+NOVIEMBRE!C69+DICIEMBRE!C69</f>
        <v>32828</v>
      </c>
      <c r="D69" s="49"/>
      <c r="E69" s="132">
        <f>+'ENERO '!E69+FEBRERO!E69+MARZO!E69+ABRIL!E69+MAYO!E69+JUNIO!E69+JULIO!E69+AGOSTO!E69+SEPTIEMBRE!E69+OCTUBRE!E69+NOVIEMBRE!E69+DICIEMBRE!E69</f>
        <v>260513320</v>
      </c>
      <c r="F69" s="21"/>
      <c r="G69" s="511">
        <f t="shared" si="1"/>
        <v>37216188.571428575</v>
      </c>
      <c r="H69" s="511">
        <f t="shared" si="2"/>
        <v>446594262.85714293</v>
      </c>
      <c r="I69" s="511">
        <f t="shared" si="3"/>
        <v>44659426.285714298</v>
      </c>
      <c r="J69" s="515">
        <f t="shared" si="4"/>
        <v>491253689.14285719</v>
      </c>
      <c r="S69" s="511">
        <v>195310300</v>
      </c>
    </row>
    <row r="70" spans="1:19" ht="15" customHeight="1" x14ac:dyDescent="0.25">
      <c r="A70" s="180" t="s">
        <v>112</v>
      </c>
      <c r="B70" s="176" t="s">
        <v>113</v>
      </c>
      <c r="C70" s="132">
        <f>+'ENERO '!C70+FEBRERO!C70+MARZO!C70+ABRIL!C70+MAYO!C70+JUNIO!C70+JULIO!C70+AGOSTO!C70+SEPTIEMBRE!C70+OCTUBRE!C70+NOVIEMBRE!C70+DICIEMBRE!C70</f>
        <v>111</v>
      </c>
      <c r="D70" s="49"/>
      <c r="E70" s="132">
        <f>+'ENERO '!E70+FEBRERO!E70+MARZO!E70+ABRIL!E70+MAYO!E70+JUNIO!E70+JULIO!E70+AGOSTO!E70+SEPTIEMBRE!E70+OCTUBRE!E70+NOVIEMBRE!E70+DICIEMBRE!E70</f>
        <v>3244160</v>
      </c>
      <c r="F70" s="21"/>
      <c r="G70" s="511">
        <f t="shared" si="1"/>
        <v>463451.42857142858</v>
      </c>
      <c r="H70" s="511">
        <f t="shared" si="2"/>
        <v>5561417.1428571427</v>
      </c>
      <c r="I70" s="511">
        <f t="shared" si="3"/>
        <v>556141.71428571432</v>
      </c>
      <c r="J70" s="515">
        <f t="shared" si="4"/>
        <v>6117558.8571428573</v>
      </c>
      <c r="S70" s="511">
        <v>2469410</v>
      </c>
    </row>
    <row r="71" spans="1:19" ht="15" customHeight="1" x14ac:dyDescent="0.25">
      <c r="A71" s="180" t="s">
        <v>114</v>
      </c>
      <c r="B71" s="176" t="s">
        <v>115</v>
      </c>
      <c r="C71" s="132">
        <f>+'ENERO '!C71+FEBRERO!C71+MARZO!C71+ABRIL!C71+MAYO!C71+JUNIO!C71+JULIO!C71+AGOSTO!C71+SEPTIEMBRE!C71+OCTUBRE!C71+NOVIEMBRE!C71+DICIEMBRE!C71</f>
        <v>8365</v>
      </c>
      <c r="D71" s="49"/>
      <c r="E71" s="132">
        <f>+'ENERO '!E71+FEBRERO!E71+MARZO!E71+ABRIL!E71+MAYO!E71+JUNIO!E71+JULIO!E71+AGOSTO!E71+SEPTIEMBRE!E71+OCTUBRE!E71+NOVIEMBRE!E71+DICIEMBRE!E71</f>
        <v>419979500</v>
      </c>
      <c r="F71" s="21"/>
      <c r="G71" s="511">
        <f t="shared" si="1"/>
        <v>59997071.428571425</v>
      </c>
      <c r="H71" s="511">
        <f t="shared" si="2"/>
        <v>719964857.14285707</v>
      </c>
      <c r="I71" s="511">
        <f t="shared" si="3"/>
        <v>71996485.714285716</v>
      </c>
      <c r="J71" s="515">
        <f t="shared" si="4"/>
        <v>791961342.85714281</v>
      </c>
      <c r="S71" s="511">
        <v>301566130</v>
      </c>
    </row>
    <row r="72" spans="1:19" ht="15" customHeight="1" x14ac:dyDescent="0.25">
      <c r="A72" s="180" t="s">
        <v>116</v>
      </c>
      <c r="B72" s="176" t="s">
        <v>117</v>
      </c>
      <c r="C72" s="132">
        <f>+'ENERO '!C72+FEBRERO!C72+MARZO!C72+ABRIL!C72+MAYO!C72+JUNIO!C72+JULIO!C72+AGOSTO!C72+SEPTIEMBRE!C72+OCTUBRE!C72+NOVIEMBRE!C72+DICIEMBRE!C72</f>
        <v>9767</v>
      </c>
      <c r="D72" s="49"/>
      <c r="E72" s="132">
        <f>+'ENERO '!E72+FEBRERO!E72+MARZO!E72+ABRIL!E72+MAYO!E72+JUNIO!E72+JULIO!E72+AGOSTO!E72+SEPTIEMBRE!E72+OCTUBRE!E72+NOVIEMBRE!E72+DICIEMBRE!E72</f>
        <v>153978860</v>
      </c>
      <c r="F72" s="21"/>
      <c r="G72" s="511">
        <f t="shared" si="1"/>
        <v>21996980</v>
      </c>
      <c r="H72" s="511">
        <f t="shared" si="2"/>
        <v>263963760</v>
      </c>
      <c r="I72" s="511">
        <f t="shared" si="3"/>
        <v>26396376</v>
      </c>
      <c r="J72" s="515">
        <f t="shared" si="4"/>
        <v>290360136</v>
      </c>
      <c r="S72" s="511">
        <v>115633650</v>
      </c>
    </row>
    <row r="73" spans="1:19" ht="15" customHeight="1" x14ac:dyDescent="0.25">
      <c r="A73" s="221"/>
      <c r="B73" s="176" t="s">
        <v>118</v>
      </c>
      <c r="C73" s="132">
        <f>+'ENERO '!C73+FEBRERO!C73+MARZO!C73+ABRIL!C73+MAYO!C73+JUNIO!C73+JULIO!C73+AGOSTO!C73+SEPTIEMBRE!C73+OCTUBRE!C73+NOVIEMBRE!C73+DICIEMBRE!C73</f>
        <v>2655</v>
      </c>
      <c r="D73" s="49"/>
      <c r="E73" s="132">
        <f>+'ENERO '!E73+FEBRERO!E73+MARZO!E73+ABRIL!E73+MAYO!E73+JUNIO!E73+JULIO!E73+AGOSTO!E73+SEPTIEMBRE!E73+OCTUBRE!E73+NOVIEMBRE!E73+DICIEMBRE!E73</f>
        <v>13404150</v>
      </c>
      <c r="F73" s="21"/>
      <c r="G73" s="511">
        <f t="shared" si="1"/>
        <v>1914878.5714285714</v>
      </c>
      <c r="H73" s="511">
        <f t="shared" si="2"/>
        <v>22978542.857142858</v>
      </c>
      <c r="I73" s="511">
        <f t="shared" si="3"/>
        <v>2297854.2857142859</v>
      </c>
      <c r="J73" s="515">
        <f t="shared" si="4"/>
        <v>25276397.142857146</v>
      </c>
      <c r="S73" s="511">
        <v>10436680</v>
      </c>
    </row>
    <row r="74" spans="1:19" ht="15" customHeight="1" x14ac:dyDescent="0.25">
      <c r="A74" s="222" t="s">
        <v>119</v>
      </c>
      <c r="B74" s="216" t="s">
        <v>120</v>
      </c>
      <c r="C74" s="132">
        <f>+'ENERO '!C74+FEBRERO!C74+MARZO!C74+ABRIL!C74+MAYO!C74+JUNIO!C74+JULIO!C74+AGOSTO!C74+SEPTIEMBRE!C74+OCTUBRE!C74+NOVIEMBRE!C74+DICIEMBRE!C74</f>
        <v>0</v>
      </c>
      <c r="D74" s="139"/>
      <c r="E74" s="132">
        <f>+'ENERO '!E74+FEBRERO!E74+MARZO!E74+ABRIL!E74+MAYO!E74+JUNIO!E74+JULIO!E74+AGOSTO!E74+SEPTIEMBRE!E74+OCTUBRE!E74+NOVIEMBRE!E74+DICIEMBRE!E74</f>
        <v>0</v>
      </c>
      <c r="F74" s="21"/>
      <c r="G74" s="511">
        <f t="shared" si="1"/>
        <v>0</v>
      </c>
      <c r="H74" s="511">
        <f t="shared" si="2"/>
        <v>0</v>
      </c>
      <c r="I74" s="511">
        <f t="shared" si="3"/>
        <v>0</v>
      </c>
      <c r="J74" s="515">
        <f t="shared" si="4"/>
        <v>0</v>
      </c>
      <c r="S74" s="511">
        <v>0</v>
      </c>
    </row>
    <row r="75" spans="1:19" ht="15" customHeight="1" x14ac:dyDescent="0.25">
      <c r="A75" s="223" t="s">
        <v>121</v>
      </c>
      <c r="B75" s="217" t="s">
        <v>122</v>
      </c>
      <c r="C75" s="132">
        <f>+'ENERO '!C75+FEBRERO!C75+MARZO!C75+ABRIL!C75+MAYO!C75+JUNIO!C75+JULIO!C75+AGOSTO!C75+SEPTIEMBRE!C75+OCTUBRE!C75+NOVIEMBRE!C75+DICIEMBRE!C75</f>
        <v>0</v>
      </c>
      <c r="D75" s="61"/>
      <c r="E75" s="132">
        <f>+'ENERO '!E75+FEBRERO!E75+MARZO!E75+ABRIL!E75+MAYO!E75+JUNIO!E75+JULIO!E75+AGOSTO!E75+SEPTIEMBRE!E75+OCTUBRE!E75+NOVIEMBRE!E75+DICIEMBRE!E75</f>
        <v>0</v>
      </c>
      <c r="F75" s="21"/>
      <c r="G75" s="511">
        <f t="shared" si="1"/>
        <v>0</v>
      </c>
      <c r="H75" s="511">
        <f t="shared" si="2"/>
        <v>0</v>
      </c>
      <c r="I75" s="511">
        <f t="shared" si="3"/>
        <v>0</v>
      </c>
      <c r="J75" s="515">
        <f t="shared" si="4"/>
        <v>0</v>
      </c>
      <c r="S75" s="511">
        <v>0</v>
      </c>
    </row>
    <row r="76" spans="1:19" ht="15" customHeight="1" x14ac:dyDescent="0.25">
      <c r="A76" s="182"/>
      <c r="B76" s="232" t="s">
        <v>123</v>
      </c>
      <c r="C76" s="503">
        <f>+'ENERO '!C76+FEBRERO!C76+MARZO!C76+ABRIL!C76+MAYO!C76+JUNIO!C76+JULIO!C76+AGOSTO!C76+SEPTIEMBRE!C76+OCTUBRE!C76+NOVIEMBRE!C76+DICIEMBRE!C76</f>
        <v>791310</v>
      </c>
      <c r="D76" s="44"/>
      <c r="E76" s="503">
        <f>+'ENERO '!E76+FEBRERO!E76+MARZO!E76+ABRIL!E76+MAYO!E76+JUNIO!E76+JULIO!E76+AGOSTO!E76+SEPTIEMBRE!E76+OCTUBRE!E76+NOVIEMBRE!E76+DICIEMBRE!E76</f>
        <v>1866801860</v>
      </c>
      <c r="F76" s="21"/>
      <c r="G76" s="511">
        <f t="shared" si="1"/>
        <v>266685980</v>
      </c>
      <c r="H76" s="511">
        <f t="shared" si="2"/>
        <v>3200231760</v>
      </c>
      <c r="I76" s="511">
        <f t="shared" si="3"/>
        <v>320023176</v>
      </c>
      <c r="J76" s="515">
        <f t="shared" si="4"/>
        <v>3520254936</v>
      </c>
      <c r="S76" s="511">
        <v>1395543760</v>
      </c>
    </row>
    <row r="77" spans="1:19" x14ac:dyDescent="0.25">
      <c r="A77" s="21"/>
      <c r="B77" s="21"/>
      <c r="C77" s="21"/>
      <c r="D77" s="21"/>
      <c r="E77" s="21"/>
      <c r="F77" s="41"/>
      <c r="G77" s="511">
        <f t="shared" si="1"/>
        <v>0</v>
      </c>
      <c r="H77" s="511">
        <f t="shared" si="2"/>
        <v>0</v>
      </c>
      <c r="I77" s="511">
        <f t="shared" si="3"/>
        <v>0</v>
      </c>
      <c r="J77" s="515">
        <f t="shared" si="4"/>
        <v>0</v>
      </c>
    </row>
    <row r="78" spans="1:19" x14ac:dyDescent="0.25">
      <c r="A78" s="21"/>
      <c r="B78" s="21"/>
      <c r="C78" s="21"/>
      <c r="D78" s="21"/>
      <c r="E78" s="21"/>
      <c r="F78" s="41"/>
      <c r="G78" s="511">
        <f t="shared" si="1"/>
        <v>0</v>
      </c>
      <c r="H78" s="511">
        <f t="shared" si="2"/>
        <v>0</v>
      </c>
      <c r="I78" s="511">
        <f t="shared" si="3"/>
        <v>0</v>
      </c>
      <c r="J78" s="515">
        <f t="shared" si="4"/>
        <v>0</v>
      </c>
    </row>
    <row r="79" spans="1:19" x14ac:dyDescent="0.25">
      <c r="A79" s="549" t="s">
        <v>124</v>
      </c>
      <c r="B79" s="550"/>
      <c r="C79" s="550"/>
      <c r="D79" s="550"/>
      <c r="E79" s="551"/>
      <c r="F79" s="41"/>
      <c r="G79" s="511">
        <f t="shared" si="1"/>
        <v>0</v>
      </c>
      <c r="H79" s="511">
        <f t="shared" si="2"/>
        <v>0</v>
      </c>
      <c r="I79" s="511">
        <f t="shared" si="3"/>
        <v>0</v>
      </c>
      <c r="J79" s="515">
        <f t="shared" si="4"/>
        <v>0</v>
      </c>
    </row>
    <row r="80" spans="1:19" ht="45" customHeight="1" x14ac:dyDescent="0.25">
      <c r="A80" s="1" t="s">
        <v>8</v>
      </c>
      <c r="B80" s="228" t="s">
        <v>9</v>
      </c>
      <c r="C80" s="2" t="s">
        <v>10</v>
      </c>
      <c r="D80" s="4"/>
      <c r="E80" s="5" t="s">
        <v>12</v>
      </c>
      <c r="F80" s="41"/>
    </row>
    <row r="81" spans="1:19" ht="15" customHeight="1" x14ac:dyDescent="0.25">
      <c r="A81" s="213" t="s">
        <v>125</v>
      </c>
      <c r="B81" s="188" t="s">
        <v>126</v>
      </c>
      <c r="C81" s="132">
        <f>+'ENERO '!C81+FEBRERO!C81+MARZO!C81+ABRIL!C81+MAYO!C81+JUNIO!C81+JULIO!C81+AGOSTO!C81+SEPTIEMBRE!C81+OCTUBRE!C81+NOVIEMBRE!C81+DICIEMBRE!C81</f>
        <v>0</v>
      </c>
      <c r="D81" s="46"/>
      <c r="E81" s="132">
        <f>+'ENERO '!E81+FEBRERO!E81+MARZO!E81+ABRIL!E81+MAYO!E81+JUNIO!E81+JULIO!E81+AGOSTO!E81+SEPTIEMBRE!E81+OCTUBRE!E81+NOVIEMBRE!E81+DICIEMBRE!E81</f>
        <v>0</v>
      </c>
      <c r="F81" s="21"/>
      <c r="G81" s="511">
        <f t="shared" ref="G81:G144" si="6">+E81/7</f>
        <v>0</v>
      </c>
      <c r="H81" s="511">
        <f t="shared" ref="H81:H144" si="7">+G81*12</f>
        <v>0</v>
      </c>
      <c r="I81" s="511">
        <f t="shared" ref="I81:I144" si="8">+H81*10%</f>
        <v>0</v>
      </c>
      <c r="J81" s="515">
        <f t="shared" ref="J81:J144" si="9">+I81+H81</f>
        <v>0</v>
      </c>
      <c r="S81" s="511">
        <v>0</v>
      </c>
    </row>
    <row r="82" spans="1:19" ht="15" customHeight="1" x14ac:dyDescent="0.25">
      <c r="A82" s="202">
        <v>2001</v>
      </c>
      <c r="B82" s="176" t="s">
        <v>127</v>
      </c>
      <c r="C82" s="132">
        <f>+'ENERO '!C82+FEBRERO!C82+MARZO!C82+ABRIL!C82+MAYO!C82+JUNIO!C82+JULIO!C82+AGOSTO!C82+SEPTIEMBRE!C82+OCTUBRE!C82+NOVIEMBRE!C82+DICIEMBRE!C82</f>
        <v>14604</v>
      </c>
      <c r="D82" s="49"/>
      <c r="E82" s="132">
        <f>+'ENERO '!E82+FEBRERO!E82+MARZO!E82+ABRIL!E82+MAYO!E82+JUNIO!E82+JULIO!E82+AGOSTO!E82+SEPTIEMBRE!E82+OCTUBRE!E82+NOVIEMBRE!E82+DICIEMBRE!E82</f>
        <v>126573620</v>
      </c>
      <c r="F82" s="21"/>
      <c r="G82" s="511">
        <f t="shared" si="6"/>
        <v>18081945.714285713</v>
      </c>
      <c r="H82" s="511">
        <f t="shared" si="7"/>
        <v>216983348.57142854</v>
      </c>
      <c r="I82" s="511">
        <f t="shared" si="8"/>
        <v>21698334.857142854</v>
      </c>
      <c r="J82" s="515">
        <f t="shared" si="9"/>
        <v>238681683.4285714</v>
      </c>
      <c r="S82" s="511">
        <v>97658620</v>
      </c>
    </row>
    <row r="83" spans="1:19" ht="15" customHeight="1" x14ac:dyDescent="0.25">
      <c r="A83" s="207" t="s">
        <v>128</v>
      </c>
      <c r="B83" s="195" t="s">
        <v>129</v>
      </c>
      <c r="C83" s="132">
        <f>+'ENERO '!C83+FEBRERO!C83+MARZO!C83+ABRIL!C83+MAYO!C83+JUNIO!C83+JULIO!C83+AGOSTO!C83+SEPTIEMBRE!C83+OCTUBRE!C83+NOVIEMBRE!C83+DICIEMBRE!C83</f>
        <v>378</v>
      </c>
      <c r="D83" s="51"/>
      <c r="E83" s="132">
        <f>+'ENERO '!E83+FEBRERO!E83+MARZO!E83+ABRIL!E83+MAYO!E83+JUNIO!E83+JULIO!E83+AGOSTO!E83+SEPTIEMBRE!E83+OCTUBRE!E83+NOVIEMBRE!E83+DICIEMBRE!E83</f>
        <v>24887110</v>
      </c>
      <c r="F83" s="21"/>
      <c r="G83" s="511">
        <f t="shared" si="6"/>
        <v>3555301.4285714286</v>
      </c>
      <c r="H83" s="511">
        <f t="shared" si="7"/>
        <v>42663617.142857142</v>
      </c>
      <c r="I83" s="511">
        <f t="shared" si="8"/>
        <v>4266361.7142857146</v>
      </c>
      <c r="J83" s="515">
        <f t="shared" si="9"/>
        <v>46929978.857142858</v>
      </c>
      <c r="S83" s="511">
        <v>19174950</v>
      </c>
    </row>
    <row r="84" spans="1:19" ht="17.25" customHeight="1" x14ac:dyDescent="0.25">
      <c r="A84" s="182"/>
      <c r="B84" s="232" t="s">
        <v>130</v>
      </c>
      <c r="C84" s="503">
        <f>SUM(C81:C83)</f>
        <v>14982</v>
      </c>
      <c r="D84" s="44"/>
      <c r="E84" s="69">
        <f>SUM(E81:E83)</f>
        <v>151460730</v>
      </c>
      <c r="F84" s="21"/>
      <c r="G84" s="511">
        <f t="shared" si="6"/>
        <v>21637247.142857142</v>
      </c>
      <c r="H84" s="511">
        <f t="shared" si="7"/>
        <v>259646965.7142857</v>
      </c>
      <c r="I84" s="511">
        <f t="shared" si="8"/>
        <v>25964696.571428571</v>
      </c>
      <c r="J84" s="515">
        <f t="shared" si="9"/>
        <v>285611662.28571427</v>
      </c>
      <c r="S84" s="511">
        <v>116833570</v>
      </c>
    </row>
    <row r="85" spans="1:19" x14ac:dyDescent="0.25">
      <c r="A85" s="21"/>
      <c r="B85" s="21"/>
      <c r="C85" s="21"/>
      <c r="D85" s="21"/>
      <c r="E85" s="21"/>
      <c r="F85" s="21"/>
      <c r="G85" s="511">
        <f t="shared" si="6"/>
        <v>0</v>
      </c>
      <c r="H85" s="511">
        <f t="shared" si="7"/>
        <v>0</v>
      </c>
      <c r="I85" s="511">
        <f t="shared" si="8"/>
        <v>0</v>
      </c>
      <c r="J85" s="515">
        <f t="shared" si="9"/>
        <v>0</v>
      </c>
    </row>
    <row r="86" spans="1:19" x14ac:dyDescent="0.25">
      <c r="A86" s="21"/>
      <c r="B86" s="21"/>
      <c r="C86" s="21"/>
      <c r="D86" s="21"/>
      <c r="E86" s="21"/>
      <c r="F86" s="18"/>
      <c r="G86" s="511">
        <f t="shared" si="6"/>
        <v>0</v>
      </c>
      <c r="H86" s="511">
        <f t="shared" si="7"/>
        <v>0</v>
      </c>
      <c r="I86" s="511">
        <f t="shared" si="8"/>
        <v>0</v>
      </c>
      <c r="J86" s="515">
        <f t="shared" si="9"/>
        <v>0</v>
      </c>
    </row>
    <row r="87" spans="1:19" x14ac:dyDescent="0.25">
      <c r="A87" s="567" t="s">
        <v>131</v>
      </c>
      <c r="B87" s="568"/>
      <c r="C87" s="568"/>
      <c r="D87" s="568"/>
      <c r="E87" s="568"/>
      <c r="F87" s="569"/>
      <c r="G87" s="511">
        <f t="shared" si="6"/>
        <v>0</v>
      </c>
      <c r="H87" s="511">
        <f t="shared" si="7"/>
        <v>0</v>
      </c>
      <c r="I87" s="511">
        <f t="shared" si="8"/>
        <v>0</v>
      </c>
      <c r="J87" s="515">
        <f t="shared" si="9"/>
        <v>0</v>
      </c>
    </row>
    <row r="88" spans="1:19" ht="33.75" customHeight="1" x14ac:dyDescent="0.25">
      <c r="A88" s="570" t="s">
        <v>8</v>
      </c>
      <c r="B88" s="570" t="s">
        <v>9</v>
      </c>
      <c r="C88" s="552" t="s">
        <v>10</v>
      </c>
      <c r="D88" s="553"/>
      <c r="E88" s="553"/>
      <c r="F88" s="554"/>
      <c r="G88" s="511">
        <f t="shared" si="6"/>
        <v>0</v>
      </c>
      <c r="H88" s="511">
        <f t="shared" si="7"/>
        <v>0</v>
      </c>
      <c r="I88" s="511">
        <f t="shared" si="8"/>
        <v>0</v>
      </c>
      <c r="J88" s="515">
        <f t="shared" si="9"/>
        <v>0</v>
      </c>
    </row>
    <row r="89" spans="1:19" ht="45" customHeight="1" x14ac:dyDescent="0.25">
      <c r="A89" s="571"/>
      <c r="B89" s="571"/>
      <c r="C89" s="228" t="s">
        <v>132</v>
      </c>
      <c r="D89" s="7" t="s">
        <v>133</v>
      </c>
      <c r="E89" s="3" t="s">
        <v>134</v>
      </c>
      <c r="F89" s="229" t="s">
        <v>12</v>
      </c>
    </row>
    <row r="90" spans="1:19" ht="15" customHeight="1" x14ac:dyDescent="0.25">
      <c r="A90" s="179" t="s">
        <v>135</v>
      </c>
      <c r="B90" s="175" t="s">
        <v>136</v>
      </c>
      <c r="C90" s="132">
        <f>+'ENERO '!C90+FEBRERO!C90+MARZO!C90+ABRIL!C90+MAYO!C90+JUNIO!C90+JULIO!C90+AGOSTO!C90+SEPTIEMBRE!C90+OCTUBRE!C90+NOVIEMBRE!C90+DICIEMBRE!C90</f>
        <v>14</v>
      </c>
      <c r="D90" s="70">
        <f>+[1]BS17!G68</f>
        <v>0</v>
      </c>
      <c r="E90" s="71">
        <f>+[1]BS17!H68</f>
        <v>0</v>
      </c>
      <c r="F90" s="132">
        <f>+'ENERO '!F90+FEBRERO!F90+MARZO!F90+ABRIL!F90+MAYO!F90+JUNIO!F90+JULIO!F90+AGOSTO!F90+SEPTIEMBRE!F90+OCTUBRE!F90+NOVIEMBRE!F90+DICIEMBRE!F90</f>
        <v>2091880</v>
      </c>
      <c r="G90" s="516">
        <f t="shared" ref="G90" si="10">+F90</f>
        <v>2091880</v>
      </c>
      <c r="H90" s="511">
        <f t="shared" si="7"/>
        <v>25102560</v>
      </c>
      <c r="I90" s="511">
        <f t="shared" si="8"/>
        <v>2510256</v>
      </c>
      <c r="J90" s="515">
        <f t="shared" si="9"/>
        <v>27612816</v>
      </c>
    </row>
    <row r="91" spans="1:19" ht="15" customHeight="1" x14ac:dyDescent="0.25">
      <c r="A91" s="180" t="s">
        <v>137</v>
      </c>
      <c r="B91" s="176" t="s">
        <v>138</v>
      </c>
      <c r="C91" s="132">
        <f>+'ENERO '!C91+FEBRERO!C91+MARZO!C91+ABRIL!C91+MAYO!C91+JUNIO!C91+JULIO!C91+AGOSTO!C91+SEPTIEMBRE!C91+OCTUBRE!C91+NOVIEMBRE!C91+DICIEMBRE!C91</f>
        <v>2298</v>
      </c>
      <c r="D91" s="73">
        <f>+[1]BS17!G69</f>
        <v>0</v>
      </c>
      <c r="E91" s="74">
        <f>+[1]BS17!H69</f>
        <v>0</v>
      </c>
      <c r="F91" s="132">
        <f>+'ENERO '!F91+FEBRERO!F91+MARZO!F91+ABRIL!F91+MAYO!F91+JUNIO!F91+JULIO!F91+AGOSTO!F91+SEPTIEMBRE!F91+OCTUBRE!F91+NOVIEMBRE!F91+DICIEMBRE!F91</f>
        <v>659833120</v>
      </c>
      <c r="G91" s="516">
        <f>+F91/7</f>
        <v>94261874.285714284</v>
      </c>
      <c r="H91" s="511">
        <f>+G91*12</f>
        <v>1131142491.4285715</v>
      </c>
      <c r="I91" s="511">
        <f t="shared" si="8"/>
        <v>113114249.14285715</v>
      </c>
      <c r="J91" s="515">
        <f t="shared" si="9"/>
        <v>1244256740.5714285</v>
      </c>
    </row>
    <row r="92" spans="1:19" ht="15" customHeight="1" x14ac:dyDescent="0.25">
      <c r="A92" s="180" t="s">
        <v>139</v>
      </c>
      <c r="B92" s="176" t="s">
        <v>140</v>
      </c>
      <c r="C92" s="132">
        <f>+'ENERO '!C92+FEBRERO!C92+MARZO!C92+ABRIL!C92+MAYO!C92+JUNIO!C92+JULIO!C92+AGOSTO!C92+SEPTIEMBRE!C92+OCTUBRE!C92+NOVIEMBRE!C92+DICIEMBRE!C92</f>
        <v>309</v>
      </c>
      <c r="D92" s="73">
        <f>+[1]BS17!G70</f>
        <v>0</v>
      </c>
      <c r="E92" s="74">
        <f>+[1]BS17!H70</f>
        <v>0</v>
      </c>
      <c r="F92" s="132">
        <f>+'ENERO '!F92+FEBRERO!F92+MARZO!F92+ABRIL!F92+MAYO!F92+JUNIO!F92+JULIO!F92+AGOSTO!F92+SEPTIEMBRE!F92+OCTUBRE!F92+NOVIEMBRE!F92+DICIEMBRE!F92</f>
        <v>30957060</v>
      </c>
      <c r="G92" s="516">
        <f t="shared" ref="G92:G109" si="11">+F92/7</f>
        <v>4422437.1428571427</v>
      </c>
      <c r="H92" s="511">
        <f t="shared" ref="H92:H109" si="12">+G92*12</f>
        <v>53069245.714285716</v>
      </c>
      <c r="I92" s="511">
        <f t="shared" si="8"/>
        <v>5306924.5714285718</v>
      </c>
      <c r="J92" s="515">
        <f t="shared" si="9"/>
        <v>58376170.285714291</v>
      </c>
    </row>
    <row r="93" spans="1:19" ht="15" customHeight="1" x14ac:dyDescent="0.25">
      <c r="A93" s="180" t="s">
        <v>141</v>
      </c>
      <c r="B93" s="176" t="s">
        <v>142</v>
      </c>
      <c r="C93" s="132">
        <f>+'ENERO '!C93+FEBRERO!C93+MARZO!C93+ABRIL!C93+MAYO!C93+JUNIO!C93+JULIO!C93+AGOSTO!C93+SEPTIEMBRE!C93+OCTUBRE!C93+NOVIEMBRE!C93+DICIEMBRE!C93</f>
        <v>77</v>
      </c>
      <c r="D93" s="73">
        <f>+[1]BS17!G71</f>
        <v>0</v>
      </c>
      <c r="E93" s="74">
        <f>+[1]BS17!H71</f>
        <v>0</v>
      </c>
      <c r="F93" s="132">
        <f>+'ENERO '!F93+FEBRERO!F93+MARZO!F93+ABRIL!F93+MAYO!F93+JUNIO!F93+JULIO!F93+AGOSTO!F93+SEPTIEMBRE!F93+OCTUBRE!F93+NOVIEMBRE!F93+DICIEMBRE!F93</f>
        <v>7647065</v>
      </c>
      <c r="G93" s="516">
        <f t="shared" si="11"/>
        <v>1092437.857142857</v>
      </c>
      <c r="H93" s="511">
        <f t="shared" si="12"/>
        <v>13109254.285714284</v>
      </c>
      <c r="I93" s="511">
        <f t="shared" si="8"/>
        <v>1310925.4285714284</v>
      </c>
      <c r="J93" s="515">
        <f t="shared" si="9"/>
        <v>14420179.714285713</v>
      </c>
    </row>
    <row r="94" spans="1:19" ht="15" customHeight="1" x14ac:dyDescent="0.25">
      <c r="A94" s="180" t="s">
        <v>143</v>
      </c>
      <c r="B94" s="176" t="s">
        <v>144</v>
      </c>
      <c r="C94" s="132">
        <f>+'ENERO '!C94+FEBRERO!C94+MARZO!C94+ABRIL!C94+MAYO!C94+JUNIO!C94+JULIO!C94+AGOSTO!C94+SEPTIEMBRE!C94+OCTUBRE!C94+NOVIEMBRE!C94+DICIEMBRE!C94</f>
        <v>837</v>
      </c>
      <c r="D94" s="73">
        <f>+[1]BS17!G72</f>
        <v>0</v>
      </c>
      <c r="E94" s="74">
        <f>+[1]BS17!H72</f>
        <v>0</v>
      </c>
      <c r="F94" s="132">
        <f>+'ENERO '!F94+FEBRERO!F94+MARZO!F94+ABRIL!F94+MAYO!F94+JUNIO!F94+JULIO!F94+AGOSTO!F94+SEPTIEMBRE!F94+OCTUBRE!F94+NOVIEMBRE!F94+DICIEMBRE!F94</f>
        <v>44666800</v>
      </c>
      <c r="G94" s="516">
        <f t="shared" si="11"/>
        <v>6380971.4285714282</v>
      </c>
      <c r="H94" s="511">
        <f t="shared" si="12"/>
        <v>76571657.142857134</v>
      </c>
      <c r="I94" s="511">
        <f t="shared" si="8"/>
        <v>7657165.7142857136</v>
      </c>
      <c r="J94" s="515">
        <f t="shared" si="9"/>
        <v>84228822.857142851</v>
      </c>
    </row>
    <row r="95" spans="1:19" ht="15" customHeight="1" x14ac:dyDescent="0.25">
      <c r="A95" s="180" t="s">
        <v>145</v>
      </c>
      <c r="B95" s="176" t="s">
        <v>146</v>
      </c>
      <c r="C95" s="132">
        <f>+'ENERO '!C95+FEBRERO!C95+MARZO!C95+ABRIL!C95+MAYO!C95+JUNIO!C95+JULIO!C95+AGOSTO!C95+SEPTIEMBRE!C95+OCTUBRE!C95+NOVIEMBRE!C95+DICIEMBRE!C95</f>
        <v>1477</v>
      </c>
      <c r="D95" s="73">
        <f>+[1]BS17!G73</f>
        <v>0</v>
      </c>
      <c r="E95" s="74">
        <f>+[1]BS17!H73</f>
        <v>0</v>
      </c>
      <c r="F95" s="132">
        <f>+'ENERO '!F95+FEBRERO!F95+MARZO!F95+ABRIL!F95+MAYO!F95+JUNIO!F95+JULIO!F95+AGOSTO!F95+SEPTIEMBRE!F95+OCTUBRE!F95+NOVIEMBRE!F95+DICIEMBRE!F95</f>
        <v>33033265</v>
      </c>
      <c r="G95" s="516">
        <f t="shared" si="11"/>
        <v>4719037.8571428573</v>
      </c>
      <c r="H95" s="511">
        <f t="shared" si="12"/>
        <v>56628454.285714284</v>
      </c>
      <c r="I95" s="511">
        <f t="shared" si="8"/>
        <v>5662845.4285714291</v>
      </c>
      <c r="J95" s="515">
        <f t="shared" si="9"/>
        <v>62291299.714285716</v>
      </c>
    </row>
    <row r="96" spans="1:19" ht="15" customHeight="1" x14ac:dyDescent="0.25">
      <c r="A96" s="180" t="s">
        <v>147</v>
      </c>
      <c r="B96" s="176" t="s">
        <v>148</v>
      </c>
      <c r="C96" s="132">
        <f>+'ENERO '!C96+FEBRERO!C96+MARZO!C96+ABRIL!C96+MAYO!C96+JUNIO!C96+JULIO!C96+AGOSTO!C96+SEPTIEMBRE!C96+OCTUBRE!C96+NOVIEMBRE!C96+DICIEMBRE!C96</f>
        <v>47</v>
      </c>
      <c r="D96" s="73">
        <f>+[1]BS17!G74</f>
        <v>0</v>
      </c>
      <c r="E96" s="74">
        <f>+[1]BS17!H74</f>
        <v>0</v>
      </c>
      <c r="F96" s="132">
        <f>+'ENERO '!F96+FEBRERO!F96+MARZO!F96+ABRIL!F96+MAYO!F96+JUNIO!F96+JULIO!F96+AGOSTO!F96+SEPTIEMBRE!F96+OCTUBRE!F96+NOVIEMBRE!F96+DICIEMBRE!F96</f>
        <v>7476690</v>
      </c>
      <c r="G96" s="516">
        <f t="shared" si="11"/>
        <v>1068098.5714285714</v>
      </c>
      <c r="H96" s="511">
        <f t="shared" si="12"/>
        <v>12817182.857142856</v>
      </c>
      <c r="I96" s="511">
        <f t="shared" si="8"/>
        <v>1281718.2857142857</v>
      </c>
      <c r="J96" s="515">
        <f t="shared" si="9"/>
        <v>14098901.142857142</v>
      </c>
    </row>
    <row r="97" spans="1:10" ht="15" customHeight="1" x14ac:dyDescent="0.25">
      <c r="A97" s="180" t="s">
        <v>149</v>
      </c>
      <c r="B97" s="176" t="s">
        <v>150</v>
      </c>
      <c r="C97" s="132">
        <f>+'ENERO '!C97+FEBRERO!C97+MARZO!C97+ABRIL!C97+MAYO!C97+JUNIO!C97+JULIO!C97+AGOSTO!C97+SEPTIEMBRE!C97+OCTUBRE!C97+NOVIEMBRE!C97+DICIEMBRE!C97</f>
        <v>39</v>
      </c>
      <c r="D97" s="73">
        <f>+[1]BS17!G75</f>
        <v>0</v>
      </c>
      <c r="E97" s="74">
        <f>+[1]BS17!H75</f>
        <v>0</v>
      </c>
      <c r="F97" s="132">
        <f>+'ENERO '!F97+FEBRERO!F97+MARZO!F97+ABRIL!F97+MAYO!F97+JUNIO!F97+JULIO!F97+AGOSTO!F97+SEPTIEMBRE!F97+OCTUBRE!F97+NOVIEMBRE!F97+DICIEMBRE!F97</f>
        <v>3636495</v>
      </c>
      <c r="G97" s="516">
        <f t="shared" si="11"/>
        <v>519499.28571428574</v>
      </c>
      <c r="H97" s="511">
        <f t="shared" si="12"/>
        <v>6233991.4285714291</v>
      </c>
      <c r="I97" s="511">
        <f t="shared" si="8"/>
        <v>623399.14285714296</v>
      </c>
      <c r="J97" s="515">
        <f t="shared" si="9"/>
        <v>6857390.5714285718</v>
      </c>
    </row>
    <row r="98" spans="1:10" ht="15" customHeight="1" x14ac:dyDescent="0.25">
      <c r="A98" s="180" t="s">
        <v>151</v>
      </c>
      <c r="B98" s="176" t="s">
        <v>152</v>
      </c>
      <c r="C98" s="132">
        <f>+'ENERO '!C98+FEBRERO!C98+MARZO!C98+ABRIL!C98+MAYO!C98+JUNIO!C98+JULIO!C98+AGOSTO!C98+SEPTIEMBRE!C98+OCTUBRE!C98+NOVIEMBRE!C98+DICIEMBRE!C98</f>
        <v>1825</v>
      </c>
      <c r="D98" s="73">
        <f>+[1]BS17!G76</f>
        <v>0</v>
      </c>
      <c r="E98" s="74">
        <f>+[1]BS17!H76</f>
        <v>0</v>
      </c>
      <c r="F98" s="132">
        <f>+'ENERO '!F98+FEBRERO!F98+MARZO!F98+ABRIL!F98+MAYO!F98+JUNIO!F98+JULIO!F98+AGOSTO!F98+SEPTIEMBRE!F98+OCTUBRE!F98+NOVIEMBRE!F98+DICIEMBRE!F98</f>
        <v>448792695</v>
      </c>
      <c r="G98" s="516">
        <f t="shared" si="11"/>
        <v>64113242.142857142</v>
      </c>
      <c r="H98" s="511">
        <f t="shared" si="12"/>
        <v>769358905.71428573</v>
      </c>
      <c r="I98" s="511">
        <f t="shared" si="8"/>
        <v>76935890.571428582</v>
      </c>
      <c r="J98" s="515">
        <f t="shared" si="9"/>
        <v>846294796.28571427</v>
      </c>
    </row>
    <row r="99" spans="1:10" ht="15" customHeight="1" x14ac:dyDescent="0.25">
      <c r="A99" s="180" t="s">
        <v>153</v>
      </c>
      <c r="B99" s="176" t="s">
        <v>154</v>
      </c>
      <c r="C99" s="132">
        <f>+'ENERO '!C99+FEBRERO!C99+MARZO!C99+ABRIL!C99+MAYO!C99+JUNIO!C99+JULIO!C99+AGOSTO!C99+SEPTIEMBRE!C99+OCTUBRE!C99+NOVIEMBRE!C99+DICIEMBRE!C99</f>
        <v>124</v>
      </c>
      <c r="D99" s="73">
        <f>+[1]BS17!G77</f>
        <v>0</v>
      </c>
      <c r="E99" s="74">
        <f>+[1]BS17!H77</f>
        <v>0</v>
      </c>
      <c r="F99" s="132">
        <f>+'ENERO '!F99+FEBRERO!F99+MARZO!F99+ABRIL!F99+MAYO!F99+JUNIO!F99+JULIO!F99+AGOSTO!F99+SEPTIEMBRE!F99+OCTUBRE!F99+NOVIEMBRE!F99+DICIEMBRE!F99</f>
        <v>12117340</v>
      </c>
      <c r="G99" s="516">
        <f t="shared" si="11"/>
        <v>1731048.5714285714</v>
      </c>
      <c r="H99" s="511">
        <f t="shared" si="12"/>
        <v>20772582.857142858</v>
      </c>
      <c r="I99" s="511">
        <f t="shared" si="8"/>
        <v>2077258.2857142859</v>
      </c>
      <c r="J99" s="515">
        <f t="shared" si="9"/>
        <v>22849841.142857146</v>
      </c>
    </row>
    <row r="100" spans="1:10" ht="15" customHeight="1" x14ac:dyDescent="0.25">
      <c r="A100" s="180" t="s">
        <v>155</v>
      </c>
      <c r="B100" s="176" t="s">
        <v>156</v>
      </c>
      <c r="C100" s="132">
        <f>+'ENERO '!C100+FEBRERO!C100+MARZO!C100+ABRIL!C100+MAYO!C100+JUNIO!C100+JULIO!C100+AGOSTO!C100+SEPTIEMBRE!C100+OCTUBRE!C100+NOVIEMBRE!C100+DICIEMBRE!C100</f>
        <v>375</v>
      </c>
      <c r="D100" s="73">
        <f>+[1]BS17!G78</f>
        <v>0</v>
      </c>
      <c r="E100" s="74">
        <f>+[1]BS17!H78</f>
        <v>0</v>
      </c>
      <c r="F100" s="132">
        <f>+'ENERO '!F100+FEBRERO!F100+MARZO!F100+ABRIL!F100+MAYO!F100+JUNIO!F100+JULIO!F100+AGOSTO!F100+SEPTIEMBRE!F100+OCTUBRE!F100+NOVIEMBRE!F100+DICIEMBRE!F100</f>
        <v>69990280</v>
      </c>
      <c r="G100" s="516">
        <f t="shared" si="11"/>
        <v>9998611.4285714291</v>
      </c>
      <c r="H100" s="511">
        <f t="shared" si="12"/>
        <v>119983337.14285715</v>
      </c>
      <c r="I100" s="511">
        <f t="shared" si="8"/>
        <v>11998333.714285716</v>
      </c>
      <c r="J100" s="515">
        <f t="shared" si="9"/>
        <v>131981670.85714287</v>
      </c>
    </row>
    <row r="101" spans="1:10" ht="15" customHeight="1" x14ac:dyDescent="0.25">
      <c r="A101" s="180" t="s">
        <v>157</v>
      </c>
      <c r="B101" s="176" t="s">
        <v>158</v>
      </c>
      <c r="C101" s="132">
        <f>+'ENERO '!C101+FEBRERO!C101+MARZO!C101+ABRIL!C101+MAYO!C101+JUNIO!C101+JULIO!C101+AGOSTO!C101+SEPTIEMBRE!C101+OCTUBRE!C101+NOVIEMBRE!C101+DICIEMBRE!C101</f>
        <v>91</v>
      </c>
      <c r="D101" s="73">
        <f>+[1]BS17!G79</f>
        <v>0</v>
      </c>
      <c r="E101" s="74">
        <f>+[1]BS17!H79</f>
        <v>0</v>
      </c>
      <c r="F101" s="132">
        <f>+'ENERO '!F101+FEBRERO!F101+MARZO!F101+ABRIL!F101+MAYO!F101+JUNIO!F101+JULIO!F101+AGOSTO!F101+SEPTIEMBRE!F101+OCTUBRE!F101+NOVIEMBRE!F101+DICIEMBRE!F101</f>
        <v>21265470</v>
      </c>
      <c r="G101" s="516">
        <f t="shared" si="11"/>
        <v>3037924.2857142859</v>
      </c>
      <c r="H101" s="511">
        <f t="shared" si="12"/>
        <v>36455091.428571433</v>
      </c>
      <c r="I101" s="511">
        <f t="shared" si="8"/>
        <v>3645509.1428571437</v>
      </c>
      <c r="J101" s="515">
        <f t="shared" si="9"/>
        <v>40100600.571428575</v>
      </c>
    </row>
    <row r="102" spans="1:10" ht="15" customHeight="1" x14ac:dyDescent="0.25">
      <c r="A102" s="207" t="s">
        <v>159</v>
      </c>
      <c r="B102" s="195" t="s">
        <v>160</v>
      </c>
      <c r="C102" s="132">
        <f>+'ENERO '!C102+FEBRERO!C102+MARZO!C102+ABRIL!C102+MAYO!C102+JUNIO!C102+JULIO!C102+AGOSTO!C102+SEPTIEMBRE!C102+OCTUBRE!C102+NOVIEMBRE!C102+DICIEMBRE!C102</f>
        <v>532</v>
      </c>
      <c r="D102" s="76">
        <f>+[1]BS17!G80</f>
        <v>0</v>
      </c>
      <c r="E102" s="77">
        <f>+[1]BS17!H80</f>
        <v>0</v>
      </c>
      <c r="F102" s="132">
        <f>+'ENERO '!F102+FEBRERO!F102+MARZO!F102+ABRIL!F102+MAYO!F102+JUNIO!F102+JULIO!F102+AGOSTO!F102+SEPTIEMBRE!F102+OCTUBRE!F102+NOVIEMBRE!F102+DICIEMBRE!F102</f>
        <v>101526300</v>
      </c>
      <c r="G102" s="516">
        <f t="shared" si="11"/>
        <v>14503757.142857144</v>
      </c>
      <c r="H102" s="511">
        <f t="shared" si="12"/>
        <v>174045085.71428573</v>
      </c>
      <c r="I102" s="511">
        <f t="shared" si="8"/>
        <v>17404508.571428575</v>
      </c>
      <c r="J102" s="515">
        <f t="shared" si="9"/>
        <v>191449594.2857143</v>
      </c>
    </row>
    <row r="103" spans="1:10" ht="15" customHeight="1" x14ac:dyDescent="0.25">
      <c r="A103" s="179" t="s">
        <v>161</v>
      </c>
      <c r="B103" s="175" t="s">
        <v>162</v>
      </c>
      <c r="C103" s="132">
        <f>+'ENERO '!C103+FEBRERO!C103+MARZO!C103+ABRIL!C103+MAYO!C103+JUNIO!C103+JULIO!C103+AGOSTO!C103+SEPTIEMBRE!C103+OCTUBRE!C103+NOVIEMBRE!C103+DICIEMBRE!C103</f>
        <v>737</v>
      </c>
      <c r="D103" s="70">
        <f>+[1]BS17!G81</f>
        <v>0</v>
      </c>
      <c r="E103" s="71">
        <f>+[1]BS17!H81</f>
        <v>0</v>
      </c>
      <c r="F103" s="132">
        <f>+'ENERO '!F103+FEBRERO!F103+MARZO!F103+ABRIL!F103+MAYO!F103+JUNIO!F103+JULIO!F103+AGOSTO!F103+SEPTIEMBRE!F103+OCTUBRE!F103+NOVIEMBRE!F103+DICIEMBRE!F103</f>
        <v>86317500</v>
      </c>
      <c r="G103" s="516">
        <f t="shared" si="11"/>
        <v>12331071.428571429</v>
      </c>
      <c r="H103" s="511">
        <f t="shared" si="12"/>
        <v>147972857.14285713</v>
      </c>
      <c r="I103" s="511">
        <f t="shared" si="8"/>
        <v>14797285.714285715</v>
      </c>
      <c r="J103" s="515">
        <f t="shared" si="9"/>
        <v>162770142.85714284</v>
      </c>
    </row>
    <row r="104" spans="1:10" ht="15" customHeight="1" x14ac:dyDescent="0.25">
      <c r="A104" s="180"/>
      <c r="B104" s="176" t="s">
        <v>163</v>
      </c>
      <c r="C104" s="132">
        <f>+'ENERO '!C104+FEBRERO!C104+MARZO!C104+ABRIL!C104+MAYO!C104+JUNIO!C104+JULIO!C104+AGOSTO!C104+SEPTIEMBRE!C104+OCTUBRE!C104+NOVIEMBRE!C104+DICIEMBRE!C104</f>
        <v>0</v>
      </c>
      <c r="D104" s="73">
        <f>+[1]BS17A!F1635</f>
        <v>0</v>
      </c>
      <c r="E104" s="74">
        <f>+[1]BS17A!G1635</f>
        <v>0</v>
      </c>
      <c r="F104" s="132">
        <f>+'ENERO '!F104+FEBRERO!F104+MARZO!F104+ABRIL!F104+MAYO!F104+JUNIO!F104+JULIO!F104+AGOSTO!F104+SEPTIEMBRE!F104+OCTUBRE!F104+NOVIEMBRE!F104+DICIEMBRE!F104</f>
        <v>0</v>
      </c>
      <c r="G104" s="516">
        <f t="shared" si="11"/>
        <v>0</v>
      </c>
      <c r="H104" s="511">
        <f t="shared" si="12"/>
        <v>0</v>
      </c>
      <c r="I104" s="511">
        <f t="shared" si="8"/>
        <v>0</v>
      </c>
      <c r="J104" s="515">
        <f t="shared" si="9"/>
        <v>0</v>
      </c>
    </row>
    <row r="105" spans="1:10" ht="15" customHeight="1" x14ac:dyDescent="0.25">
      <c r="A105" s="180"/>
      <c r="B105" s="176" t="s">
        <v>164</v>
      </c>
      <c r="C105" s="132">
        <f>+'ENERO '!C105+FEBRERO!C105+MARZO!C105+ABRIL!C105+MAYO!C105+JUNIO!C105+JULIO!C105+AGOSTO!C105+SEPTIEMBRE!C105+OCTUBRE!C105+NOVIEMBRE!C105+DICIEMBRE!C105</f>
        <v>473</v>
      </c>
      <c r="D105" s="73">
        <f>+[1]BS17A!F1634</f>
        <v>0</v>
      </c>
      <c r="E105" s="74">
        <f>+[1]BS17A!G1634</f>
        <v>0</v>
      </c>
      <c r="F105" s="132">
        <f>+'ENERO '!F105+FEBRERO!F105+MARZO!F105+ABRIL!F105+MAYO!F105+JUNIO!F105+JULIO!F105+AGOSTO!F105+SEPTIEMBRE!F105+OCTUBRE!F105+NOVIEMBRE!F105+DICIEMBRE!F105</f>
        <v>60500790</v>
      </c>
      <c r="G105" s="516">
        <f t="shared" si="11"/>
        <v>8642970</v>
      </c>
      <c r="H105" s="511">
        <f t="shared" si="12"/>
        <v>103715640</v>
      </c>
      <c r="I105" s="511">
        <f t="shared" si="8"/>
        <v>10371564</v>
      </c>
      <c r="J105" s="515">
        <f t="shared" si="9"/>
        <v>114087204</v>
      </c>
    </row>
    <row r="106" spans="1:10" ht="15" customHeight="1" x14ac:dyDescent="0.25">
      <c r="A106" s="181"/>
      <c r="B106" s="189" t="s">
        <v>165</v>
      </c>
      <c r="C106" s="132">
        <f>+'ENERO '!C106+FEBRERO!C106+MARZO!C106+ABRIL!C106+MAYO!C106+JUNIO!C106+JULIO!C106+AGOSTO!C106+SEPTIEMBRE!C106+OCTUBRE!C106+NOVIEMBRE!C106+DICIEMBRE!C106</f>
        <v>264</v>
      </c>
      <c r="D106" s="80">
        <f>+[1]BS17A!F1632+[1]BS17A!F1633</f>
        <v>0</v>
      </c>
      <c r="E106" s="81">
        <f>+[1]BS17A!G1632+[1]BS17A!G1633</f>
        <v>0</v>
      </c>
      <c r="F106" s="132">
        <f>+'ENERO '!F106+FEBRERO!F106+MARZO!F106+ABRIL!F106+MAYO!F106+JUNIO!F106+JULIO!F106+AGOSTO!F106+SEPTIEMBRE!F106+OCTUBRE!F106+NOVIEMBRE!F106+DICIEMBRE!F106</f>
        <v>25816710</v>
      </c>
      <c r="G106" s="516">
        <f t="shared" si="11"/>
        <v>3688101.4285714286</v>
      </c>
      <c r="H106" s="511">
        <f t="shared" si="12"/>
        <v>44257217.142857142</v>
      </c>
      <c r="I106" s="511">
        <f t="shared" si="8"/>
        <v>4425721.7142857146</v>
      </c>
      <c r="J106" s="515">
        <f t="shared" si="9"/>
        <v>48682938.857142858</v>
      </c>
    </row>
    <row r="107" spans="1:10" ht="15" customHeight="1" x14ac:dyDescent="0.25">
      <c r="A107" s="212" t="s">
        <v>166</v>
      </c>
      <c r="B107" s="211" t="s">
        <v>167</v>
      </c>
      <c r="C107" s="132">
        <f>+'ENERO '!C107+FEBRERO!C107+MARZO!C107+ABRIL!C107+MAYO!C107+JUNIO!C107+JULIO!C107+AGOSTO!C107+SEPTIEMBRE!C107+OCTUBRE!C107+NOVIEMBRE!C107+DICIEMBRE!C107</f>
        <v>588</v>
      </c>
      <c r="D107" s="83">
        <f>+[1]BS17!G82</f>
        <v>0</v>
      </c>
      <c r="E107" s="84">
        <f>+[1]BS17!H82</f>
        <v>0</v>
      </c>
      <c r="F107" s="132">
        <f>+'ENERO '!F107+FEBRERO!F107+MARZO!F107+ABRIL!F107+MAYO!F107+JUNIO!F107+JULIO!F107+AGOSTO!F107+SEPTIEMBRE!F107+OCTUBRE!F107+NOVIEMBRE!F107+DICIEMBRE!F107</f>
        <v>116203895</v>
      </c>
      <c r="G107" s="516">
        <f t="shared" si="11"/>
        <v>16600556.428571429</v>
      </c>
      <c r="H107" s="511">
        <f t="shared" si="12"/>
        <v>199206677.14285713</v>
      </c>
      <c r="I107" s="511">
        <f t="shared" si="8"/>
        <v>19920667.714285713</v>
      </c>
      <c r="J107" s="515">
        <f t="shared" si="9"/>
        <v>219127344.85714284</v>
      </c>
    </row>
    <row r="108" spans="1:10" ht="15" customHeight="1" x14ac:dyDescent="0.25">
      <c r="A108" s="208">
        <v>2106</v>
      </c>
      <c r="B108" s="189" t="s">
        <v>168</v>
      </c>
      <c r="C108" s="132">
        <f>+'ENERO '!C108+FEBRERO!C108+MARZO!C108+ABRIL!C108+MAYO!C108+JUNIO!C108+JULIO!C108+AGOSTO!C108+SEPTIEMBRE!C108+OCTUBRE!C108+NOVIEMBRE!C108+DICIEMBRE!C108</f>
        <v>67</v>
      </c>
      <c r="D108" s="80">
        <f>[1]BS17A!F1845</f>
        <v>0</v>
      </c>
      <c r="E108" s="81">
        <f>[1]BS17A!G1845</f>
        <v>0</v>
      </c>
      <c r="F108" s="132">
        <f>+'ENERO '!F108+FEBRERO!F108+MARZO!F108+ABRIL!F108+MAYO!F108+JUNIO!F108+JULIO!F108+AGOSTO!F108+SEPTIEMBRE!F108+OCTUBRE!F108+NOVIEMBRE!F108+DICIEMBRE!F108</f>
        <v>4084860</v>
      </c>
      <c r="G108" s="516">
        <f t="shared" si="11"/>
        <v>583551.42857142852</v>
      </c>
      <c r="H108" s="511">
        <f t="shared" si="12"/>
        <v>7002617.1428571418</v>
      </c>
      <c r="I108" s="511">
        <f t="shared" si="8"/>
        <v>700261.7142857142</v>
      </c>
      <c r="J108" s="515">
        <f t="shared" si="9"/>
        <v>7702878.8571428563</v>
      </c>
    </row>
    <row r="109" spans="1:10" ht="15" customHeight="1" x14ac:dyDescent="0.25">
      <c r="A109" s="187"/>
      <c r="B109" s="186" t="s">
        <v>169</v>
      </c>
      <c r="C109" s="132">
        <f>+'ENERO '!C109+FEBRERO!C109+MARZO!C109+ABRIL!C109+MAYO!C109+JUNIO!C109+JULIO!C109+AGOSTO!C109+SEPTIEMBRE!C109+OCTUBRE!C109+NOVIEMBRE!C109+DICIEMBRE!C109</f>
        <v>9437</v>
      </c>
      <c r="D109" s="87">
        <f>SUM(D90:D108)-D103</f>
        <v>0</v>
      </c>
      <c r="E109" s="88">
        <f>+SUM(E90:E103)+E107+E108</f>
        <v>0</v>
      </c>
      <c r="F109" s="89">
        <f>+SUM(F90:F103)+F107+F108</f>
        <v>1649640715</v>
      </c>
      <c r="G109" s="516">
        <f t="shared" si="11"/>
        <v>235662959.2857143</v>
      </c>
      <c r="H109" s="511">
        <f t="shared" si="12"/>
        <v>2827955511.4285717</v>
      </c>
      <c r="I109" s="511">
        <f t="shared" si="8"/>
        <v>282795551.14285719</v>
      </c>
      <c r="J109" s="515">
        <f t="shared" si="9"/>
        <v>3110751062.5714288</v>
      </c>
    </row>
    <row r="110" spans="1:10" x14ac:dyDescent="0.25">
      <c r="A110" s="21"/>
      <c r="B110" s="21"/>
      <c r="C110" s="21"/>
      <c r="D110" s="21"/>
      <c r="E110" s="21"/>
      <c r="F110" s="18"/>
      <c r="G110" s="511">
        <f t="shared" si="6"/>
        <v>0</v>
      </c>
      <c r="H110" s="511">
        <f t="shared" si="7"/>
        <v>0</v>
      </c>
      <c r="I110" s="511">
        <f t="shared" si="8"/>
        <v>0</v>
      </c>
      <c r="J110" s="515">
        <f t="shared" si="9"/>
        <v>0</v>
      </c>
    </row>
    <row r="111" spans="1:10" x14ac:dyDescent="0.25">
      <c r="A111" s="21"/>
      <c r="B111" s="21"/>
      <c r="C111" s="21"/>
      <c r="D111" s="21"/>
      <c r="E111" s="21"/>
      <c r="F111" s="18"/>
      <c r="G111" s="511">
        <f t="shared" si="6"/>
        <v>0</v>
      </c>
      <c r="H111" s="511">
        <f t="shared" si="7"/>
        <v>0</v>
      </c>
      <c r="I111" s="511">
        <f t="shared" si="8"/>
        <v>0</v>
      </c>
      <c r="J111" s="515">
        <f t="shared" si="9"/>
        <v>0</v>
      </c>
    </row>
    <row r="112" spans="1:10" x14ac:dyDescent="0.25">
      <c r="A112" s="549" t="s">
        <v>170</v>
      </c>
      <c r="B112" s="550"/>
      <c r="C112" s="550"/>
      <c r="D112" s="550"/>
      <c r="E112" s="551"/>
      <c r="F112" s="18"/>
      <c r="G112" s="511">
        <f t="shared" si="6"/>
        <v>0</v>
      </c>
      <c r="H112" s="511">
        <f t="shared" si="7"/>
        <v>0</v>
      </c>
      <c r="I112" s="511">
        <f t="shared" si="8"/>
        <v>0</v>
      </c>
      <c r="J112" s="515">
        <f t="shared" si="9"/>
        <v>0</v>
      </c>
    </row>
    <row r="113" spans="1:19" ht="49.5" customHeight="1" x14ac:dyDescent="0.25">
      <c r="A113" s="1" t="s">
        <v>8</v>
      </c>
      <c r="B113" s="1" t="s">
        <v>9</v>
      </c>
      <c r="C113" s="227" t="s">
        <v>10</v>
      </c>
      <c r="D113" s="3" t="s">
        <v>11</v>
      </c>
      <c r="E113" s="229" t="s">
        <v>12</v>
      </c>
      <c r="F113" s="18"/>
      <c r="G113" s="511" t="e">
        <f t="shared" si="6"/>
        <v>#VALUE!</v>
      </c>
      <c r="H113" s="511" t="e">
        <f t="shared" si="7"/>
        <v>#VALUE!</v>
      </c>
      <c r="I113" s="511" t="e">
        <f t="shared" si="8"/>
        <v>#VALUE!</v>
      </c>
      <c r="J113" s="515" t="e">
        <f t="shared" si="9"/>
        <v>#VALUE!</v>
      </c>
    </row>
    <row r="114" spans="1:19" ht="15" customHeight="1" x14ac:dyDescent="0.25">
      <c r="A114" s="179" t="s">
        <v>171</v>
      </c>
      <c r="B114" s="175" t="s">
        <v>172</v>
      </c>
      <c r="C114" s="132">
        <f>+'ENERO '!C114+FEBRERO!C114+MARZO!C114+ABRIL!C114+MAYO!C114+JUNIO!C114+JULIO!C114+AGOSTO!C114+SEPTIEMBRE!C114+OCTUBRE!C114+NOVIEMBRE!C114+DICIEMBRE!C114</f>
        <v>1010</v>
      </c>
      <c r="D114" s="90">
        <f>+[1]BS17A!U1636</f>
        <v>125180</v>
      </c>
      <c r="E114" s="132">
        <f>+'ENERO '!E114+FEBRERO!E114+MARZO!E114+ABRIL!E114+MAYO!E114+JUNIO!E114+JULIO!E114+AGOSTO!E114+SEPTIEMBRE!E114+OCTUBRE!E114+NOVIEMBRE!E114+DICIEMBRE!E114</f>
        <v>129304440</v>
      </c>
      <c r="F114" s="21"/>
      <c r="G114" s="511">
        <f t="shared" si="6"/>
        <v>18472062.857142858</v>
      </c>
      <c r="H114" s="511">
        <f t="shared" si="7"/>
        <v>221664754.2857143</v>
      </c>
      <c r="I114" s="511">
        <f t="shared" si="8"/>
        <v>22166475.428571433</v>
      </c>
      <c r="J114" s="515">
        <f t="shared" si="9"/>
        <v>243831229.71428573</v>
      </c>
      <c r="S114" s="511">
        <v>98487780</v>
      </c>
    </row>
    <row r="115" spans="1:19" ht="15" customHeight="1" x14ac:dyDescent="0.25">
      <c r="A115" s="181" t="s">
        <v>173</v>
      </c>
      <c r="B115" s="205" t="s">
        <v>174</v>
      </c>
      <c r="C115" s="132">
        <f>+'ENERO '!C115+FEBRERO!C115+MARZO!C115+ABRIL!C115+MAYO!C115+JUNIO!C115+JULIO!C115+AGOSTO!C115+SEPTIEMBRE!C115+OCTUBRE!C115+NOVIEMBRE!C115+DICIEMBRE!C115</f>
        <v>44</v>
      </c>
      <c r="D115" s="92">
        <f>+[1]BS17A!U1637</f>
        <v>131720</v>
      </c>
      <c r="E115" s="132">
        <f>+'ENERO '!E115+FEBRERO!E115+MARZO!E115+ABRIL!E115+MAYO!E115+JUNIO!E115+JULIO!E115+AGOSTO!E115+SEPTIEMBRE!E115+OCTUBRE!E115+NOVIEMBRE!E115+DICIEMBRE!E115</f>
        <v>5937880</v>
      </c>
      <c r="F115" s="21"/>
      <c r="G115" s="511">
        <f t="shared" si="6"/>
        <v>848268.57142857148</v>
      </c>
      <c r="H115" s="511">
        <f t="shared" si="7"/>
        <v>10179222.857142858</v>
      </c>
      <c r="I115" s="511">
        <f t="shared" si="8"/>
        <v>1017922.2857142859</v>
      </c>
      <c r="J115" s="515">
        <f t="shared" si="9"/>
        <v>11197145.142857144</v>
      </c>
      <c r="S115" s="511">
        <v>3767160</v>
      </c>
    </row>
    <row r="116" spans="1:19" ht="15" customHeight="1" x14ac:dyDescent="0.25">
      <c r="A116" s="68"/>
      <c r="B116" s="141" t="s">
        <v>175</v>
      </c>
      <c r="C116" s="132">
        <f>+'ENERO '!C116+FEBRERO!C116+MARZO!C116+ABRIL!C116+MAYO!C116+JUNIO!C116+JULIO!C116+AGOSTO!C116+SEPTIEMBRE!C116+OCTUBRE!C116+NOVIEMBRE!C116+DICIEMBRE!C116</f>
        <v>1054</v>
      </c>
      <c r="D116" s="44"/>
      <c r="E116" s="69">
        <f>SUM(E114:E115)</f>
        <v>135242320</v>
      </c>
      <c r="F116" s="21"/>
      <c r="G116" s="511">
        <f t="shared" si="6"/>
        <v>19320331.428571429</v>
      </c>
      <c r="H116" s="511">
        <f t="shared" si="7"/>
        <v>231843977.14285713</v>
      </c>
      <c r="I116" s="511">
        <f t="shared" si="8"/>
        <v>23184397.714285716</v>
      </c>
      <c r="J116" s="515">
        <f t="shared" si="9"/>
        <v>255028374.85714287</v>
      </c>
      <c r="S116" s="511">
        <v>102254940</v>
      </c>
    </row>
    <row r="117" spans="1:19" x14ac:dyDescent="0.25">
      <c r="A117" s="21"/>
      <c r="B117" s="21"/>
      <c r="C117" s="21"/>
      <c r="D117" s="21"/>
      <c r="E117" s="21"/>
      <c r="F117" s="21"/>
      <c r="G117" s="511">
        <f t="shared" si="6"/>
        <v>0</v>
      </c>
      <c r="H117" s="511">
        <f t="shared" si="7"/>
        <v>0</v>
      </c>
      <c r="I117" s="511">
        <f t="shared" si="8"/>
        <v>0</v>
      </c>
      <c r="J117" s="515">
        <f t="shared" si="9"/>
        <v>0</v>
      </c>
    </row>
    <row r="118" spans="1:19" x14ac:dyDescent="0.25">
      <c r="A118" s="21"/>
      <c r="B118" s="21"/>
      <c r="C118" s="21"/>
      <c r="D118" s="21"/>
      <c r="E118" s="21"/>
      <c r="F118" s="18"/>
      <c r="G118" s="511">
        <f t="shared" si="6"/>
        <v>0</v>
      </c>
      <c r="H118" s="511">
        <f t="shared" si="7"/>
        <v>0</v>
      </c>
      <c r="I118" s="511">
        <f t="shared" si="8"/>
        <v>0</v>
      </c>
      <c r="J118" s="515">
        <f t="shared" si="9"/>
        <v>0</v>
      </c>
    </row>
    <row r="119" spans="1:19" x14ac:dyDescent="0.25">
      <c r="A119" s="566" t="s">
        <v>176</v>
      </c>
      <c r="B119" s="566"/>
      <c r="C119" s="566"/>
      <c r="D119" s="21"/>
      <c r="E119" s="21"/>
      <c r="F119" s="18"/>
      <c r="G119" s="511">
        <f t="shared" si="6"/>
        <v>0</v>
      </c>
      <c r="H119" s="511">
        <f t="shared" si="7"/>
        <v>0</v>
      </c>
      <c r="I119" s="511">
        <f t="shared" si="8"/>
        <v>0</v>
      </c>
      <c r="J119" s="515">
        <f t="shared" si="9"/>
        <v>0</v>
      </c>
    </row>
    <row r="120" spans="1:19" ht="38.25" customHeight="1" x14ac:dyDescent="0.25">
      <c r="A120" s="1" t="s">
        <v>8</v>
      </c>
      <c r="B120" s="1" t="s">
        <v>10</v>
      </c>
      <c r="C120" s="1" t="s">
        <v>12</v>
      </c>
      <c r="D120" s="21"/>
      <c r="E120" s="21"/>
      <c r="F120" s="21"/>
      <c r="G120" s="511">
        <f t="shared" si="6"/>
        <v>0</v>
      </c>
      <c r="H120" s="511">
        <f t="shared" si="7"/>
        <v>0</v>
      </c>
      <c r="I120" s="511">
        <f t="shared" si="8"/>
        <v>0</v>
      </c>
      <c r="J120" s="515">
        <f t="shared" si="9"/>
        <v>0</v>
      </c>
    </row>
    <row r="121" spans="1:19" ht="15" customHeight="1" x14ac:dyDescent="0.25">
      <c r="A121" s="93" t="s">
        <v>177</v>
      </c>
      <c r="B121" s="94" t="s">
        <v>178</v>
      </c>
      <c r="C121" s="95">
        <f>+[1]BS17A!V1871+[1]BS17A!V1889+[1]BS17A!V1914</f>
        <v>0</v>
      </c>
      <c r="D121" s="21"/>
      <c r="E121" s="21"/>
      <c r="F121" s="21"/>
      <c r="G121" s="511">
        <f t="shared" si="6"/>
        <v>0</v>
      </c>
      <c r="H121" s="511">
        <f t="shared" si="7"/>
        <v>0</v>
      </c>
      <c r="I121" s="511">
        <f t="shared" si="8"/>
        <v>0</v>
      </c>
      <c r="J121" s="515">
        <f t="shared" si="9"/>
        <v>0</v>
      </c>
    </row>
    <row r="122" spans="1:19" x14ac:dyDescent="0.25">
      <c r="A122" s="21"/>
      <c r="B122" s="21"/>
      <c r="C122" s="21"/>
      <c r="D122" s="21"/>
      <c r="E122" s="18"/>
      <c r="F122" s="21"/>
      <c r="G122" s="511">
        <f t="shared" si="6"/>
        <v>0</v>
      </c>
      <c r="H122" s="511">
        <f t="shared" si="7"/>
        <v>0</v>
      </c>
      <c r="I122" s="511">
        <f t="shared" si="8"/>
        <v>0</v>
      </c>
      <c r="J122" s="515">
        <f t="shared" si="9"/>
        <v>0</v>
      </c>
    </row>
    <row r="123" spans="1:19" x14ac:dyDescent="0.25">
      <c r="A123" s="21"/>
      <c r="B123" s="21"/>
      <c r="C123" s="21"/>
      <c r="D123" s="21"/>
      <c r="E123" s="18"/>
      <c r="F123" s="21"/>
      <c r="G123" s="511">
        <f t="shared" si="6"/>
        <v>0</v>
      </c>
      <c r="H123" s="511">
        <f t="shared" si="7"/>
        <v>0</v>
      </c>
      <c r="I123" s="511">
        <f t="shared" si="8"/>
        <v>0</v>
      </c>
      <c r="J123" s="515">
        <f t="shared" si="9"/>
        <v>0</v>
      </c>
    </row>
    <row r="124" spans="1:19" x14ac:dyDescent="0.25">
      <c r="A124" s="549" t="s">
        <v>179</v>
      </c>
      <c r="B124" s="550"/>
      <c r="C124" s="550"/>
      <c r="D124" s="550"/>
      <c r="E124" s="551"/>
      <c r="F124" s="18"/>
      <c r="G124" s="511">
        <f t="shared" si="6"/>
        <v>0</v>
      </c>
      <c r="H124" s="511">
        <f t="shared" si="7"/>
        <v>0</v>
      </c>
      <c r="I124" s="511">
        <f t="shared" si="8"/>
        <v>0</v>
      </c>
      <c r="J124" s="515">
        <f t="shared" si="9"/>
        <v>0</v>
      </c>
    </row>
    <row r="125" spans="1:19" ht="45.75" customHeight="1" x14ac:dyDescent="0.25">
      <c r="A125" s="1" t="s">
        <v>8</v>
      </c>
      <c r="B125" s="1" t="s">
        <v>9</v>
      </c>
      <c r="C125" s="227" t="s">
        <v>10</v>
      </c>
      <c r="D125" s="3" t="s">
        <v>11</v>
      </c>
      <c r="E125" s="229" t="s">
        <v>12</v>
      </c>
      <c r="F125" s="18"/>
    </row>
    <row r="126" spans="1:19" ht="15" customHeight="1" x14ac:dyDescent="0.25">
      <c r="A126" s="179" t="s">
        <v>180</v>
      </c>
      <c r="B126" s="196" t="s">
        <v>181</v>
      </c>
      <c r="C126" s="132">
        <f>+'ENERO '!C126+FEBRERO!C126+MARZO!C126+ABRIL!C126+MAYO!C126+JUNIO!C126+JULIO!C126+AGOSTO!C126+SEPTIEMBRE!C126+OCTUBRE!C126+NOVIEMBRE!C126+DICIEMBRE!C126</f>
        <v>64490</v>
      </c>
      <c r="D126" s="31">
        <f>+[1]BS17A!$U59</f>
        <v>32060</v>
      </c>
      <c r="E126" s="132">
        <f>+'ENERO '!E126+FEBRERO!E126+MARZO!E126+ABRIL!E126+MAYO!E126+JUNIO!E126+JULIO!E126+AGOSTO!E126+SEPTIEMBRE!E126+OCTUBRE!E126+NOVIEMBRE!E126+DICIEMBRE!E126</f>
        <v>2114924440</v>
      </c>
      <c r="F126" s="21"/>
      <c r="G126" s="511">
        <f t="shared" si="6"/>
        <v>302132062.85714287</v>
      </c>
      <c r="H126" s="511">
        <f t="shared" si="7"/>
        <v>3625584754.2857141</v>
      </c>
      <c r="I126" s="511">
        <f t="shared" si="8"/>
        <v>362558475.42857146</v>
      </c>
      <c r="J126" s="515">
        <f t="shared" si="9"/>
        <v>3988143229.7142859</v>
      </c>
      <c r="S126" s="532">
        <v>1549655060</v>
      </c>
    </row>
    <row r="127" spans="1:19" ht="15" customHeight="1" x14ac:dyDescent="0.25">
      <c r="A127" s="180" t="s">
        <v>182</v>
      </c>
      <c r="B127" s="177" t="s">
        <v>183</v>
      </c>
      <c r="C127" s="132">
        <f>+'ENERO '!C127+FEBRERO!C127+MARZO!C127+ABRIL!C127+MAYO!C127+JUNIO!C127+JULIO!C127+AGOSTO!C127+SEPTIEMBRE!C127+OCTUBRE!C127+NOVIEMBRE!C127+DICIEMBRE!C127</f>
        <v>0</v>
      </c>
      <c r="D127" s="26">
        <f>+[1]BS17A!$U60</f>
        <v>29510</v>
      </c>
      <c r="E127" s="132">
        <f>+'ENERO '!E127+FEBRERO!E127+MARZO!E127+ABRIL!E127+MAYO!E127+JUNIO!E127+JULIO!E127+AGOSTO!E127+SEPTIEMBRE!E127+OCTUBRE!E127+NOVIEMBRE!E127+DICIEMBRE!E127</f>
        <v>0</v>
      </c>
      <c r="F127" s="21"/>
      <c r="G127" s="511">
        <f t="shared" si="6"/>
        <v>0</v>
      </c>
      <c r="H127" s="511">
        <f t="shared" si="7"/>
        <v>0</v>
      </c>
      <c r="I127" s="511">
        <f t="shared" si="8"/>
        <v>0</v>
      </c>
      <c r="J127" s="515">
        <f t="shared" si="9"/>
        <v>0</v>
      </c>
      <c r="S127" s="532">
        <v>0</v>
      </c>
    </row>
    <row r="128" spans="1:19" ht="15" customHeight="1" x14ac:dyDescent="0.25">
      <c r="A128" s="180" t="s">
        <v>184</v>
      </c>
      <c r="B128" s="177" t="s">
        <v>185</v>
      </c>
      <c r="C128" s="132">
        <f>+'ENERO '!C128+FEBRERO!C128+MARZO!C128+ABRIL!C128+MAYO!C128+JUNIO!C128+JULIO!C128+AGOSTO!C128+SEPTIEMBRE!C128+OCTUBRE!C128+NOVIEMBRE!C128+DICIEMBRE!C128</f>
        <v>0</v>
      </c>
      <c r="D128" s="26">
        <f>+[1]BS17A!$U61</f>
        <v>24600</v>
      </c>
      <c r="E128" s="132">
        <f>+'ENERO '!E128+FEBRERO!E128+MARZO!E128+ABRIL!E128+MAYO!E128+JUNIO!E128+JULIO!E128+AGOSTO!E128+SEPTIEMBRE!E128+OCTUBRE!E128+NOVIEMBRE!E128+DICIEMBRE!E128</f>
        <v>0</v>
      </c>
      <c r="F128" s="21"/>
      <c r="G128" s="511">
        <f t="shared" si="6"/>
        <v>0</v>
      </c>
      <c r="H128" s="511">
        <f t="shared" si="7"/>
        <v>0</v>
      </c>
      <c r="I128" s="511">
        <f t="shared" si="8"/>
        <v>0</v>
      </c>
      <c r="J128" s="515">
        <f t="shared" si="9"/>
        <v>0</v>
      </c>
      <c r="S128" s="532">
        <v>0</v>
      </c>
    </row>
    <row r="129" spans="1:19" ht="15" customHeight="1" x14ac:dyDescent="0.25">
      <c r="A129" s="180" t="s">
        <v>186</v>
      </c>
      <c r="B129" s="177" t="s">
        <v>187</v>
      </c>
      <c r="C129" s="132">
        <f>+'ENERO '!C129+FEBRERO!C129+MARZO!C129+ABRIL!C129+MAYO!C129+JUNIO!C129+JULIO!C129+AGOSTO!C129+SEPTIEMBRE!C129+OCTUBRE!C129+NOVIEMBRE!C129+DICIEMBRE!C129</f>
        <v>2526</v>
      </c>
      <c r="D129" s="26">
        <f>+[1]BS17A!$U62</f>
        <v>133290</v>
      </c>
      <c r="E129" s="132">
        <f>+'ENERO '!E129+FEBRERO!E129+MARZO!E129+ABRIL!E129+MAYO!E129+JUNIO!E129+JULIO!E129+AGOSTO!E129+SEPTIEMBRE!E129+OCTUBRE!E129+NOVIEMBRE!E129+DICIEMBRE!E129</f>
        <v>344578540</v>
      </c>
      <c r="F129" s="21"/>
      <c r="G129" s="511">
        <f t="shared" si="6"/>
        <v>49225505.714285716</v>
      </c>
      <c r="H129" s="511">
        <f t="shared" si="7"/>
        <v>590706068.57142854</v>
      </c>
      <c r="I129" s="511">
        <f t="shared" si="8"/>
        <v>59070606.857142858</v>
      </c>
      <c r="J129" s="515">
        <f t="shared" si="9"/>
        <v>649776675.42857134</v>
      </c>
      <c r="S129" s="532">
        <v>255889200</v>
      </c>
    </row>
    <row r="130" spans="1:19" ht="15" customHeight="1" x14ac:dyDescent="0.25">
      <c r="A130" s="180" t="s">
        <v>188</v>
      </c>
      <c r="B130" s="177" t="s">
        <v>189</v>
      </c>
      <c r="C130" s="132">
        <f>+'ENERO '!C130+FEBRERO!C130+MARZO!C130+ABRIL!C130+MAYO!C130+JUNIO!C130+JULIO!C130+AGOSTO!C130+SEPTIEMBRE!C130+OCTUBRE!C130+NOVIEMBRE!C130+DICIEMBRE!C130</f>
        <v>3385</v>
      </c>
      <c r="D130" s="26">
        <f>+[1]BS17A!$U65</f>
        <v>64370</v>
      </c>
      <c r="E130" s="132">
        <f>+'ENERO '!E130+FEBRERO!E130+MARZO!E130+ABRIL!E130+MAYO!E130+JUNIO!E130+JULIO!E130+AGOSTO!E130+SEPTIEMBRE!E130+OCTUBRE!E130+NOVIEMBRE!E130+DICIEMBRE!E130</f>
        <v>223001160</v>
      </c>
      <c r="F130" s="21"/>
      <c r="G130" s="511">
        <f t="shared" si="6"/>
        <v>31857308.571428571</v>
      </c>
      <c r="H130" s="511">
        <f t="shared" si="7"/>
        <v>382287702.85714287</v>
      </c>
      <c r="I130" s="511">
        <f t="shared" si="8"/>
        <v>38228770.285714291</v>
      </c>
      <c r="J130" s="515">
        <f t="shared" si="9"/>
        <v>420516473.14285713</v>
      </c>
      <c r="S130" s="532">
        <v>157563060</v>
      </c>
    </row>
    <row r="131" spans="1:19" ht="15" customHeight="1" x14ac:dyDescent="0.25">
      <c r="A131" s="180" t="s">
        <v>190</v>
      </c>
      <c r="B131" s="177" t="s">
        <v>191</v>
      </c>
      <c r="C131" s="132">
        <f>+'ENERO '!C131+FEBRERO!C131+MARZO!C131+ABRIL!C131+MAYO!C131+JUNIO!C131+JULIO!C131+AGOSTO!C131+SEPTIEMBRE!C131+OCTUBRE!C131+NOVIEMBRE!C131+DICIEMBRE!C131</f>
        <v>1999</v>
      </c>
      <c r="D131" s="26">
        <f>+[1]BS17A!$U68</f>
        <v>57760</v>
      </c>
      <c r="E131" s="132">
        <f>+'ENERO '!E131+FEBRERO!E131+MARZO!E131+ABRIL!E131+MAYO!E131+JUNIO!E131+JULIO!E131+AGOSTO!E131+SEPTIEMBRE!E131+OCTUBRE!E131+NOVIEMBRE!E131+DICIEMBRE!E131</f>
        <v>118295980</v>
      </c>
      <c r="F131" s="21"/>
      <c r="G131" s="511">
        <f t="shared" si="6"/>
        <v>16899425.714285713</v>
      </c>
      <c r="H131" s="511">
        <f t="shared" si="7"/>
        <v>202793108.57142854</v>
      </c>
      <c r="I131" s="511">
        <f t="shared" si="8"/>
        <v>20279310.857142854</v>
      </c>
      <c r="J131" s="515">
        <f t="shared" si="9"/>
        <v>223072419.4285714</v>
      </c>
      <c r="S131" s="532">
        <v>91287520</v>
      </c>
    </row>
    <row r="132" spans="1:19" ht="15" customHeight="1" x14ac:dyDescent="0.25">
      <c r="A132" s="180" t="s">
        <v>192</v>
      </c>
      <c r="B132" s="177" t="s">
        <v>193</v>
      </c>
      <c r="C132" s="132">
        <f>+'ENERO '!C132+FEBRERO!C132+MARZO!C132+ABRIL!C132+MAYO!C132+JUNIO!C132+JULIO!C132+AGOSTO!C132+SEPTIEMBRE!C132+OCTUBRE!C132+NOVIEMBRE!C132+DICIEMBRE!C132</f>
        <v>0</v>
      </c>
      <c r="D132" s="26">
        <f>+[1]BS17A!$U69</f>
        <v>16390</v>
      </c>
      <c r="E132" s="132">
        <f>+'ENERO '!E132+FEBRERO!E132+MARZO!E132+ABRIL!E132+MAYO!E132+JUNIO!E132+JULIO!E132+AGOSTO!E132+SEPTIEMBRE!E132+OCTUBRE!E132+NOVIEMBRE!E132+DICIEMBRE!E132</f>
        <v>0</v>
      </c>
      <c r="F132" s="21"/>
      <c r="G132" s="511">
        <f t="shared" si="6"/>
        <v>0</v>
      </c>
      <c r="H132" s="511">
        <f t="shared" si="7"/>
        <v>0</v>
      </c>
      <c r="I132" s="511">
        <f t="shared" si="8"/>
        <v>0</v>
      </c>
      <c r="J132" s="515">
        <f t="shared" si="9"/>
        <v>0</v>
      </c>
      <c r="S132" s="532">
        <v>0</v>
      </c>
    </row>
    <row r="133" spans="1:19" ht="15" customHeight="1" x14ac:dyDescent="0.25">
      <c r="A133" s="180" t="s">
        <v>194</v>
      </c>
      <c r="B133" s="177" t="s">
        <v>195</v>
      </c>
      <c r="C133" s="132">
        <f>+'ENERO '!C133+FEBRERO!C133+MARZO!C133+ABRIL!C133+MAYO!C133+JUNIO!C133+JULIO!C133+AGOSTO!C133+SEPTIEMBRE!C133+OCTUBRE!C133+NOVIEMBRE!C133+DICIEMBRE!C133</f>
        <v>0</v>
      </c>
      <c r="D133" s="26">
        <f>+[1]BS17A!$U70</f>
        <v>25680</v>
      </c>
      <c r="E133" s="132">
        <f>+'ENERO '!E133+FEBRERO!E133+MARZO!E133+ABRIL!E133+MAYO!E133+JUNIO!E133+JULIO!E133+AGOSTO!E133+SEPTIEMBRE!E133+OCTUBRE!E133+NOVIEMBRE!E133+DICIEMBRE!E133</f>
        <v>0</v>
      </c>
      <c r="F133" s="21"/>
      <c r="G133" s="511">
        <f t="shared" si="6"/>
        <v>0</v>
      </c>
      <c r="H133" s="511">
        <f t="shared" si="7"/>
        <v>0</v>
      </c>
      <c r="I133" s="511">
        <f t="shared" si="8"/>
        <v>0</v>
      </c>
      <c r="J133" s="515">
        <f t="shared" si="9"/>
        <v>0</v>
      </c>
      <c r="S133" s="532">
        <v>0</v>
      </c>
    </row>
    <row r="134" spans="1:19" ht="15" customHeight="1" x14ac:dyDescent="0.25">
      <c r="A134" s="180" t="s">
        <v>196</v>
      </c>
      <c r="B134" s="177" t="s">
        <v>197</v>
      </c>
      <c r="C134" s="132">
        <f>+'ENERO '!C134+FEBRERO!C134+MARZO!C134+ABRIL!C134+MAYO!C134+JUNIO!C134+JULIO!C134+AGOSTO!C134+SEPTIEMBRE!C134+OCTUBRE!C134+NOVIEMBRE!C134+DICIEMBRE!C134</f>
        <v>0</v>
      </c>
      <c r="D134" s="26">
        <f>+[1]BS17A!$U73</f>
        <v>25890</v>
      </c>
      <c r="E134" s="132">
        <f>+'ENERO '!E134+FEBRERO!E134+MARZO!E134+ABRIL!E134+MAYO!E134+JUNIO!E134+JULIO!E134+AGOSTO!E134+SEPTIEMBRE!E134+OCTUBRE!E134+NOVIEMBRE!E134+DICIEMBRE!E134</f>
        <v>0</v>
      </c>
      <c r="F134" s="21"/>
      <c r="G134" s="511">
        <f t="shared" si="6"/>
        <v>0</v>
      </c>
      <c r="H134" s="511">
        <f t="shared" si="7"/>
        <v>0</v>
      </c>
      <c r="I134" s="511">
        <f t="shared" si="8"/>
        <v>0</v>
      </c>
      <c r="J134" s="515">
        <f t="shared" si="9"/>
        <v>0</v>
      </c>
      <c r="S134" s="532">
        <v>0</v>
      </c>
    </row>
    <row r="135" spans="1:19" ht="15" customHeight="1" x14ac:dyDescent="0.25">
      <c r="A135" s="180" t="s">
        <v>198</v>
      </c>
      <c r="B135" s="177" t="s">
        <v>199</v>
      </c>
      <c r="C135" s="132">
        <f>+'ENERO '!C135+FEBRERO!C135+MARZO!C135+ABRIL!C135+MAYO!C135+JUNIO!C135+JULIO!C135+AGOSTO!C135+SEPTIEMBRE!C135+OCTUBRE!C135+NOVIEMBRE!C135+DICIEMBRE!C135</f>
        <v>0</v>
      </c>
      <c r="D135" s="26">
        <f>+[1]BS17A!$U71</f>
        <v>26730</v>
      </c>
      <c r="E135" s="132">
        <f>+'ENERO '!E135+FEBRERO!E135+MARZO!E135+ABRIL!E135+MAYO!E135+JUNIO!E135+JULIO!E135+AGOSTO!E135+SEPTIEMBRE!E135+OCTUBRE!E135+NOVIEMBRE!E135+DICIEMBRE!E135</f>
        <v>0</v>
      </c>
      <c r="F135" s="21"/>
      <c r="G135" s="511">
        <f t="shared" si="6"/>
        <v>0</v>
      </c>
      <c r="H135" s="511">
        <f t="shared" si="7"/>
        <v>0</v>
      </c>
      <c r="I135" s="511">
        <f t="shared" si="8"/>
        <v>0</v>
      </c>
      <c r="J135" s="515">
        <f t="shared" si="9"/>
        <v>0</v>
      </c>
      <c r="S135" s="532">
        <v>0</v>
      </c>
    </row>
    <row r="136" spans="1:19" ht="15" customHeight="1" x14ac:dyDescent="0.25">
      <c r="A136" s="180" t="s">
        <v>200</v>
      </c>
      <c r="B136" s="177" t="s">
        <v>201</v>
      </c>
      <c r="C136" s="132">
        <f>+'ENERO '!C136+FEBRERO!C136+MARZO!C136+ABRIL!C136+MAYO!C136+JUNIO!C136+JULIO!C136+AGOSTO!C136+SEPTIEMBRE!C136+OCTUBRE!C136+NOVIEMBRE!C136+DICIEMBRE!C136</f>
        <v>0</v>
      </c>
      <c r="D136" s="26">
        <f>+[1]BS17A!$U76</f>
        <v>32060</v>
      </c>
      <c r="E136" s="132">
        <f>+'ENERO '!E136+FEBRERO!E136+MARZO!E136+ABRIL!E136+MAYO!E136+JUNIO!E136+JULIO!E136+AGOSTO!E136+SEPTIEMBRE!E136+OCTUBRE!E136+NOVIEMBRE!E136+DICIEMBRE!E136</f>
        <v>0</v>
      </c>
      <c r="F136" s="21"/>
      <c r="G136" s="511">
        <f t="shared" si="6"/>
        <v>0</v>
      </c>
      <c r="H136" s="511">
        <f t="shared" si="7"/>
        <v>0</v>
      </c>
      <c r="I136" s="511">
        <f t="shared" si="8"/>
        <v>0</v>
      </c>
      <c r="J136" s="515">
        <f t="shared" si="9"/>
        <v>0</v>
      </c>
      <c r="S136" s="532">
        <v>0</v>
      </c>
    </row>
    <row r="137" spans="1:19" ht="15" customHeight="1" x14ac:dyDescent="0.25">
      <c r="A137" s="180" t="s">
        <v>202</v>
      </c>
      <c r="B137" s="176" t="s">
        <v>203</v>
      </c>
      <c r="C137" s="132">
        <f>+'ENERO '!C137+FEBRERO!C137+MARZO!C137+ABRIL!C137+MAYO!C137+JUNIO!C137+JULIO!C137+AGOSTO!C137+SEPTIEMBRE!C137+OCTUBRE!C137+NOVIEMBRE!C137+DICIEMBRE!C137</f>
        <v>420</v>
      </c>
      <c r="D137" s="26">
        <f>+[1]BS17A!$U79</f>
        <v>6220</v>
      </c>
      <c r="E137" s="132">
        <f>+'ENERO '!E137+FEBRERO!E137+MARZO!E137+ABRIL!E137+MAYO!E137+JUNIO!E137+JULIO!E137+AGOSTO!E137+SEPTIEMBRE!E137+OCTUBRE!E137+NOVIEMBRE!E137+DICIEMBRE!E137</f>
        <v>2664270</v>
      </c>
      <c r="F137" s="21"/>
      <c r="G137" s="511">
        <f t="shared" si="6"/>
        <v>380610</v>
      </c>
      <c r="H137" s="511">
        <f t="shared" si="7"/>
        <v>4567320</v>
      </c>
      <c r="I137" s="511">
        <f t="shared" si="8"/>
        <v>456732</v>
      </c>
      <c r="J137" s="515">
        <f t="shared" si="9"/>
        <v>5024052</v>
      </c>
      <c r="S137" s="532">
        <v>2036090</v>
      </c>
    </row>
    <row r="138" spans="1:19" ht="15" customHeight="1" x14ac:dyDescent="0.25">
      <c r="A138" s="180" t="s">
        <v>204</v>
      </c>
      <c r="B138" s="176" t="s">
        <v>205</v>
      </c>
      <c r="C138" s="132">
        <f>+'ENERO '!C138+FEBRERO!C138+MARZO!C138+ABRIL!C138+MAYO!C138+JUNIO!C138+JULIO!C138+AGOSTO!C138+SEPTIEMBRE!C138+OCTUBRE!C138+NOVIEMBRE!C138+DICIEMBRE!C138</f>
        <v>0</v>
      </c>
      <c r="D138" s="26">
        <f>+[1]BS17A!$U80</f>
        <v>44930</v>
      </c>
      <c r="E138" s="132">
        <f>+'ENERO '!E138+FEBRERO!E138+MARZO!E138+ABRIL!E138+MAYO!E138+JUNIO!E138+JULIO!E138+AGOSTO!E138+SEPTIEMBRE!E138+OCTUBRE!E138+NOVIEMBRE!E138+DICIEMBRE!E138</f>
        <v>0</v>
      </c>
      <c r="F138" s="21"/>
      <c r="G138" s="511">
        <f t="shared" si="6"/>
        <v>0</v>
      </c>
      <c r="H138" s="511">
        <f t="shared" si="7"/>
        <v>0</v>
      </c>
      <c r="I138" s="511">
        <f t="shared" si="8"/>
        <v>0</v>
      </c>
      <c r="J138" s="515">
        <f t="shared" si="9"/>
        <v>0</v>
      </c>
      <c r="S138" s="532">
        <v>0</v>
      </c>
    </row>
    <row r="139" spans="1:19" ht="15" customHeight="1" x14ac:dyDescent="0.25">
      <c r="A139" s="181"/>
      <c r="B139" s="209" t="s">
        <v>206</v>
      </c>
      <c r="C139" s="132">
        <f>+'ENERO '!C139+FEBRERO!C139+MARZO!C139+ABRIL!C139+MAYO!C139+JUNIO!C139+JULIO!C139+AGOSTO!C139+SEPTIEMBRE!C139+OCTUBRE!C139+NOVIEMBRE!C139+DICIEMBRE!C139</f>
        <v>72820</v>
      </c>
      <c r="D139" s="98"/>
      <c r="E139" s="132">
        <f>+'ENERO '!E139+FEBRERO!E139+MARZO!E139+ABRIL!E139+MAYO!E139+JUNIO!E139+JULIO!E139+AGOSTO!E139+SEPTIEMBRE!E139+OCTUBRE!E139+NOVIEMBRE!E139+DICIEMBRE!E139</f>
        <v>2803464390</v>
      </c>
      <c r="F139" s="21"/>
      <c r="G139" s="511">
        <f t="shared" si="6"/>
        <v>400494912.85714287</v>
      </c>
      <c r="H139" s="511">
        <f t="shared" si="7"/>
        <v>4805938954.2857141</v>
      </c>
      <c r="I139" s="511">
        <f t="shared" si="8"/>
        <v>480593895.42857146</v>
      </c>
      <c r="J139" s="515">
        <f t="shared" si="9"/>
        <v>5286532849.7142859</v>
      </c>
      <c r="S139" s="532">
        <v>2056430930</v>
      </c>
    </row>
    <row r="140" spans="1:19" ht="15" customHeight="1" x14ac:dyDescent="0.25">
      <c r="A140" s="179"/>
      <c r="B140" s="210" t="s">
        <v>207</v>
      </c>
      <c r="C140" s="132">
        <f>+'ENERO '!C140+FEBRERO!C140+MARZO!C140+ABRIL!C140+MAYO!C140+JUNIO!C140+JULIO!C140+AGOSTO!C140+SEPTIEMBRE!C140+OCTUBRE!C140+NOVIEMBRE!C140+DICIEMBRE!C140</f>
        <v>0</v>
      </c>
      <c r="D140" s="31"/>
      <c r="E140" s="132">
        <f>+'ENERO '!E140+FEBRERO!E140+MARZO!E140+ABRIL!E140+MAYO!E140+JUNIO!E140+JULIO!E140+AGOSTO!E140+SEPTIEMBRE!E140+OCTUBRE!E140+NOVIEMBRE!E140+DICIEMBRE!E140</f>
        <v>0</v>
      </c>
      <c r="F140" s="21"/>
      <c r="G140" s="511">
        <f t="shared" si="6"/>
        <v>0</v>
      </c>
      <c r="H140" s="511">
        <f t="shared" si="7"/>
        <v>0</v>
      </c>
      <c r="I140" s="511">
        <f t="shared" si="8"/>
        <v>0</v>
      </c>
      <c r="J140" s="515">
        <f t="shared" si="9"/>
        <v>0</v>
      </c>
      <c r="S140" s="532">
        <v>0</v>
      </c>
    </row>
    <row r="141" spans="1:19" ht="15" customHeight="1" x14ac:dyDescent="0.25">
      <c r="A141" s="180" t="s">
        <v>208</v>
      </c>
      <c r="B141" s="177" t="s">
        <v>209</v>
      </c>
      <c r="C141" s="132">
        <f>+'ENERO '!C141+FEBRERO!C141+MARZO!C141+ABRIL!C141+MAYO!C141+JUNIO!C141+JULIO!C141+AGOSTO!C141+SEPTIEMBRE!C141+OCTUBRE!C141+NOVIEMBRE!C141+DICIEMBRE!C141</f>
        <v>0</v>
      </c>
      <c r="D141" s="26">
        <f>+[1]BS17A!$U72</f>
        <v>10780</v>
      </c>
      <c r="E141" s="132">
        <f>+'ENERO '!E141+FEBRERO!E141+MARZO!E141+ABRIL!E141+MAYO!E141+JUNIO!E141+JULIO!E141+AGOSTO!E141+SEPTIEMBRE!E141+OCTUBRE!E141+NOVIEMBRE!E141+DICIEMBRE!E141</f>
        <v>0</v>
      </c>
      <c r="F141" s="21"/>
      <c r="G141" s="511">
        <f t="shared" si="6"/>
        <v>0</v>
      </c>
      <c r="H141" s="511">
        <f t="shared" si="7"/>
        <v>0</v>
      </c>
      <c r="I141" s="511">
        <f t="shared" si="8"/>
        <v>0</v>
      </c>
      <c r="J141" s="515">
        <f t="shared" si="9"/>
        <v>0</v>
      </c>
      <c r="S141" s="532">
        <v>0</v>
      </c>
    </row>
    <row r="142" spans="1:19" ht="15" customHeight="1" x14ac:dyDescent="0.25">
      <c r="A142" s="180" t="s">
        <v>210</v>
      </c>
      <c r="B142" s="177" t="s">
        <v>211</v>
      </c>
      <c r="C142" s="132">
        <f>+'ENERO '!C142+FEBRERO!C142+MARZO!C142+ABRIL!C142+MAYO!C142+JUNIO!C142+JULIO!C142+AGOSTO!C142+SEPTIEMBRE!C142+OCTUBRE!C142+NOVIEMBRE!C142+DICIEMBRE!C142</f>
        <v>0</v>
      </c>
      <c r="D142" s="26">
        <f>+[1]BS17A!$U74</f>
        <v>10780</v>
      </c>
      <c r="E142" s="132">
        <f>+'ENERO '!E142+FEBRERO!E142+MARZO!E142+ABRIL!E142+MAYO!E142+JUNIO!E142+JULIO!E142+AGOSTO!E142+SEPTIEMBRE!E142+OCTUBRE!E142+NOVIEMBRE!E142+DICIEMBRE!E142</f>
        <v>0</v>
      </c>
      <c r="F142" s="21"/>
      <c r="G142" s="511">
        <f t="shared" si="6"/>
        <v>0</v>
      </c>
      <c r="H142" s="511">
        <f t="shared" si="7"/>
        <v>0</v>
      </c>
      <c r="I142" s="511">
        <f t="shared" si="8"/>
        <v>0</v>
      </c>
      <c r="J142" s="515">
        <f t="shared" si="9"/>
        <v>0</v>
      </c>
      <c r="S142" s="532">
        <v>0</v>
      </c>
    </row>
    <row r="143" spans="1:19" ht="15" customHeight="1" x14ac:dyDescent="0.25">
      <c r="A143" s="180" t="s">
        <v>212</v>
      </c>
      <c r="B143" s="177" t="s">
        <v>213</v>
      </c>
      <c r="C143" s="132">
        <f>+'ENERO '!C143+FEBRERO!C143+MARZO!C143+ABRIL!C143+MAYO!C143+JUNIO!C143+JULIO!C143+AGOSTO!C143+SEPTIEMBRE!C143+OCTUBRE!C143+NOVIEMBRE!C143+DICIEMBRE!C143</f>
        <v>9</v>
      </c>
      <c r="D143" s="26">
        <f>+[1]BS17A!$U75</f>
        <v>4750</v>
      </c>
      <c r="E143" s="132">
        <f>+'ENERO '!E143+FEBRERO!E143+MARZO!E143+ABRIL!E143+MAYO!E143+JUNIO!E143+JULIO!E143+AGOSTO!E143+SEPTIEMBRE!E143+OCTUBRE!E143+NOVIEMBRE!E143+DICIEMBRE!E143</f>
        <v>43310</v>
      </c>
      <c r="F143" s="21"/>
      <c r="G143" s="511">
        <f t="shared" si="6"/>
        <v>6187.1428571428569</v>
      </c>
      <c r="H143" s="511">
        <f t="shared" si="7"/>
        <v>74245.71428571429</v>
      </c>
      <c r="I143" s="511">
        <f t="shared" si="8"/>
        <v>7424.5714285714294</v>
      </c>
      <c r="J143" s="515">
        <f t="shared" si="9"/>
        <v>81670.285714285725</v>
      </c>
      <c r="S143" s="532">
        <v>23750</v>
      </c>
    </row>
    <row r="144" spans="1:19" ht="15" customHeight="1" x14ac:dyDescent="0.25">
      <c r="A144" s="180" t="s">
        <v>214</v>
      </c>
      <c r="B144" s="177" t="s">
        <v>215</v>
      </c>
      <c r="C144" s="132">
        <f>+'ENERO '!C144+FEBRERO!C144+MARZO!C144+ABRIL!C144+MAYO!C144+JUNIO!C144+JULIO!C144+AGOSTO!C144+SEPTIEMBRE!C144+OCTUBRE!C144+NOVIEMBRE!C144+DICIEMBRE!C144</f>
        <v>0</v>
      </c>
      <c r="D144" s="26">
        <f>+[1]BS17A!$U77</f>
        <v>86670</v>
      </c>
      <c r="E144" s="132">
        <f>+'ENERO '!E144+FEBRERO!E144+MARZO!E144+ABRIL!E144+MAYO!E144+JUNIO!E144+JULIO!E144+AGOSTO!E144+SEPTIEMBRE!E144+OCTUBRE!E144+NOVIEMBRE!E144+DICIEMBRE!E144</f>
        <v>0</v>
      </c>
      <c r="F144" s="21"/>
      <c r="G144" s="511">
        <f t="shared" si="6"/>
        <v>0</v>
      </c>
      <c r="H144" s="511">
        <f t="shared" si="7"/>
        <v>0</v>
      </c>
      <c r="I144" s="511">
        <f t="shared" si="8"/>
        <v>0</v>
      </c>
      <c r="J144" s="515">
        <f t="shared" si="9"/>
        <v>0</v>
      </c>
      <c r="S144" s="532">
        <v>0</v>
      </c>
    </row>
    <row r="145" spans="1:19" ht="15" customHeight="1" x14ac:dyDescent="0.25">
      <c r="A145" s="180" t="s">
        <v>216</v>
      </c>
      <c r="B145" s="177" t="s">
        <v>217</v>
      </c>
      <c r="C145" s="132">
        <f>+'ENERO '!C145+FEBRERO!C145+MARZO!C145+ABRIL!C145+MAYO!C145+JUNIO!C145+JULIO!C145+AGOSTO!C145+SEPTIEMBRE!C145+OCTUBRE!C145+NOVIEMBRE!C145+DICIEMBRE!C145</f>
        <v>0</v>
      </c>
      <c r="D145" s="26">
        <f>+[1]BS17A!$U78</f>
        <v>10230</v>
      </c>
      <c r="E145" s="132">
        <f>+'ENERO '!E145+FEBRERO!E145+MARZO!E145+ABRIL!E145+MAYO!E145+JUNIO!E145+JULIO!E145+AGOSTO!E145+SEPTIEMBRE!E145+OCTUBRE!E145+NOVIEMBRE!E145+DICIEMBRE!E145</f>
        <v>0</v>
      </c>
      <c r="F145" s="21"/>
      <c r="G145" s="511">
        <f t="shared" ref="G145:G207" si="13">+E145/7</f>
        <v>0</v>
      </c>
      <c r="H145" s="511">
        <f t="shared" ref="H145:H207" si="14">+G145*12</f>
        <v>0</v>
      </c>
      <c r="I145" s="511">
        <f t="shared" ref="I145:I207" si="15">+H145*10%</f>
        <v>0</v>
      </c>
      <c r="J145" s="515">
        <f t="shared" ref="J145:J207" si="16">+I145+H145</f>
        <v>0</v>
      </c>
      <c r="S145" s="532">
        <v>0</v>
      </c>
    </row>
    <row r="146" spans="1:19" ht="15" customHeight="1" x14ac:dyDescent="0.25">
      <c r="A146" s="180" t="s">
        <v>218</v>
      </c>
      <c r="B146" s="177" t="s">
        <v>219</v>
      </c>
      <c r="C146" s="132">
        <f>+'ENERO '!C146+FEBRERO!C146+MARZO!C146+ABRIL!C146+MAYO!C146+JUNIO!C146+JULIO!C146+AGOSTO!C146+SEPTIEMBRE!C146+OCTUBRE!C146+NOVIEMBRE!C146+DICIEMBRE!C146</f>
        <v>0</v>
      </c>
      <c r="D146" s="26">
        <f>+[1]BS17A!$U81</f>
        <v>7880</v>
      </c>
      <c r="E146" s="132">
        <f>+'ENERO '!E146+FEBRERO!E146+MARZO!E146+ABRIL!E146+MAYO!E146+JUNIO!E146+JULIO!E146+AGOSTO!E146+SEPTIEMBRE!E146+OCTUBRE!E146+NOVIEMBRE!E146+DICIEMBRE!E146</f>
        <v>0</v>
      </c>
      <c r="F146" s="21"/>
      <c r="G146" s="511">
        <f t="shared" si="13"/>
        <v>0</v>
      </c>
      <c r="H146" s="511">
        <f t="shared" si="14"/>
        <v>0</v>
      </c>
      <c r="I146" s="511">
        <f t="shared" si="15"/>
        <v>0</v>
      </c>
      <c r="J146" s="515">
        <f t="shared" si="16"/>
        <v>0</v>
      </c>
      <c r="S146" s="532">
        <v>0</v>
      </c>
    </row>
    <row r="147" spans="1:19" ht="15" customHeight="1" x14ac:dyDescent="0.25">
      <c r="A147" s="181"/>
      <c r="B147" s="209" t="s">
        <v>220</v>
      </c>
      <c r="C147" s="132">
        <f>+'ENERO '!C147+FEBRERO!C147+MARZO!C147+ABRIL!C147+MAYO!C147+JUNIO!C147+JULIO!C147+AGOSTO!C147+SEPTIEMBRE!C147+OCTUBRE!C147+NOVIEMBRE!C147+DICIEMBRE!C147</f>
        <v>9</v>
      </c>
      <c r="D147" s="98"/>
      <c r="E147" s="132">
        <f>+'ENERO '!E147+FEBRERO!E147+MARZO!E147+ABRIL!E147+MAYO!E147+JUNIO!E147+JULIO!E147+AGOSTO!E147+SEPTIEMBRE!E147+OCTUBRE!E147+NOVIEMBRE!E147+DICIEMBRE!E147</f>
        <v>43310</v>
      </c>
      <c r="F147" s="21"/>
      <c r="G147" s="511">
        <f t="shared" si="13"/>
        <v>6187.1428571428569</v>
      </c>
      <c r="H147" s="511">
        <f t="shared" si="14"/>
        <v>74245.71428571429</v>
      </c>
      <c r="I147" s="511">
        <f t="shared" si="15"/>
        <v>7424.5714285714294</v>
      </c>
      <c r="J147" s="515">
        <f t="shared" si="16"/>
        <v>81670.285714285725</v>
      </c>
      <c r="S147" s="532">
        <v>23750</v>
      </c>
    </row>
    <row r="148" spans="1:19" ht="15" customHeight="1" x14ac:dyDescent="0.25">
      <c r="A148" s="187"/>
      <c r="B148" s="186" t="s">
        <v>221</v>
      </c>
      <c r="C148" s="132">
        <f>+'ENERO '!C148+FEBRERO!C148+MARZO!C148+ABRIL!C148+MAYO!C148+JUNIO!C148+JULIO!C148+AGOSTO!C148+SEPTIEMBRE!C148+OCTUBRE!C148+NOVIEMBRE!C148+DICIEMBRE!C148</f>
        <v>72829</v>
      </c>
      <c r="D148" s="100"/>
      <c r="E148" s="132">
        <f>+'ENERO '!E148+FEBRERO!E148+MARZO!E148+ABRIL!E148+MAYO!E148+JUNIO!E148+JULIO!E148+AGOSTO!E148+SEPTIEMBRE!E148+OCTUBRE!E148+NOVIEMBRE!E148+DICIEMBRE!E148</f>
        <v>2803507700</v>
      </c>
      <c r="F148" s="21"/>
      <c r="G148" s="511">
        <f t="shared" si="13"/>
        <v>400501100</v>
      </c>
      <c r="H148" s="511">
        <f t="shared" si="14"/>
        <v>4806013200</v>
      </c>
      <c r="I148" s="511">
        <f t="shared" si="15"/>
        <v>480601320</v>
      </c>
      <c r="J148" s="515">
        <f t="shared" si="16"/>
        <v>5286614520</v>
      </c>
      <c r="S148" s="532">
        <v>2056454680</v>
      </c>
    </row>
    <row r="149" spans="1:19" x14ac:dyDescent="0.25">
      <c r="A149" s="21"/>
      <c r="B149" s="21"/>
      <c r="C149" s="21"/>
      <c r="D149" s="21"/>
      <c r="E149" s="21"/>
      <c r="F149" s="21"/>
      <c r="G149" s="511">
        <f t="shared" si="13"/>
        <v>0</v>
      </c>
      <c r="H149" s="511">
        <f t="shared" si="14"/>
        <v>0</v>
      </c>
      <c r="I149" s="511">
        <f t="shared" si="15"/>
        <v>0</v>
      </c>
      <c r="J149" s="515">
        <f t="shared" si="16"/>
        <v>0</v>
      </c>
    </row>
    <row r="150" spans="1:19" x14ac:dyDescent="0.25">
      <c r="A150" s="21"/>
      <c r="B150" s="21"/>
      <c r="C150" s="21"/>
      <c r="D150" s="21"/>
      <c r="E150" s="21"/>
      <c r="F150" s="18"/>
      <c r="G150" s="511">
        <f t="shared" si="13"/>
        <v>0</v>
      </c>
      <c r="H150" s="511">
        <f t="shared" si="14"/>
        <v>0</v>
      </c>
      <c r="I150" s="511">
        <f t="shared" si="15"/>
        <v>0</v>
      </c>
      <c r="J150" s="515">
        <f t="shared" si="16"/>
        <v>0</v>
      </c>
    </row>
    <row r="151" spans="1:19" x14ac:dyDescent="0.25">
      <c r="A151" s="567" t="s">
        <v>222</v>
      </c>
      <c r="B151" s="568"/>
      <c r="C151" s="568"/>
      <c r="D151" s="568"/>
      <c r="E151" s="569"/>
      <c r="F151" s="18"/>
      <c r="G151" s="511">
        <f t="shared" si="13"/>
        <v>0</v>
      </c>
      <c r="H151" s="511">
        <f t="shared" si="14"/>
        <v>0</v>
      </c>
      <c r="I151" s="511">
        <f t="shared" si="15"/>
        <v>0</v>
      </c>
      <c r="J151" s="515">
        <f t="shared" si="16"/>
        <v>0</v>
      </c>
    </row>
    <row r="152" spans="1:19" ht="47.25" customHeight="1" x14ac:dyDescent="0.25">
      <c r="A152" s="1" t="s">
        <v>8</v>
      </c>
      <c r="B152" s="1" t="s">
        <v>9</v>
      </c>
      <c r="C152" s="227" t="s">
        <v>10</v>
      </c>
      <c r="D152" s="3" t="s">
        <v>11</v>
      </c>
      <c r="E152" s="229" t="s">
        <v>12</v>
      </c>
      <c r="F152" s="21"/>
    </row>
    <row r="153" spans="1:19" ht="15" customHeight="1" x14ac:dyDescent="0.25">
      <c r="A153" s="179" t="s">
        <v>223</v>
      </c>
      <c r="B153" s="196" t="s">
        <v>224</v>
      </c>
      <c r="C153" s="132">
        <f>+'ENERO '!C153+FEBRERO!C153+MARZO!C153+ABRIL!C153+MAYO!C153+JUNIO!C153+JULIO!C153+AGOSTO!C153+SEPTIEMBRE!C153+OCTUBRE!C153+NOVIEMBRE!C153+DICIEMBRE!C153</f>
        <v>3392</v>
      </c>
      <c r="D153" s="31">
        <f>[1]BS17A!U43</f>
        <v>740</v>
      </c>
      <c r="E153" s="132">
        <f>+'ENERO '!E153+FEBRERO!E153+MARZO!E153+ABRIL!E153+MAYO!E153+JUNIO!E153+JULIO!E153+AGOSTO!E153+SEPTIEMBRE!E153+OCTUBRE!E153+NOVIEMBRE!E153+DICIEMBRE!E153</f>
        <v>2561580</v>
      </c>
      <c r="F153" s="21"/>
      <c r="G153" s="511">
        <f t="shared" si="13"/>
        <v>365940</v>
      </c>
      <c r="H153" s="511">
        <f t="shared" si="14"/>
        <v>4391280</v>
      </c>
      <c r="I153" s="511">
        <f t="shared" si="15"/>
        <v>439128</v>
      </c>
      <c r="J153" s="515">
        <f t="shared" si="16"/>
        <v>4830408</v>
      </c>
      <c r="S153" s="511">
        <v>1914060</v>
      </c>
    </row>
    <row r="154" spans="1:19" ht="15" customHeight="1" x14ac:dyDescent="0.25">
      <c r="A154" s="181" t="s">
        <v>225</v>
      </c>
      <c r="B154" s="178" t="s">
        <v>226</v>
      </c>
      <c r="C154" s="132">
        <f>+'ENERO '!C154+FEBRERO!C154+MARZO!C154+ABRIL!C154+MAYO!C154+JUNIO!C154+JULIO!C154+AGOSTO!C154+SEPTIEMBRE!C154+OCTUBRE!C154+NOVIEMBRE!C154+DICIEMBRE!C154</f>
        <v>0</v>
      </c>
      <c r="D154" s="33">
        <f>[1]BS17A!U44</f>
        <v>100</v>
      </c>
      <c r="E154" s="132">
        <f>+'ENERO '!E154+FEBRERO!E154+MARZO!E154+ABRIL!E154+MAYO!E154+JUNIO!E154+JULIO!E154+AGOSTO!E154+SEPTIEMBRE!E154+OCTUBRE!E154+NOVIEMBRE!E154+DICIEMBRE!E154</f>
        <v>0</v>
      </c>
      <c r="F154" s="21"/>
      <c r="G154" s="511">
        <f t="shared" si="13"/>
        <v>0</v>
      </c>
      <c r="H154" s="511">
        <f t="shared" si="14"/>
        <v>0</v>
      </c>
      <c r="I154" s="511">
        <f t="shared" si="15"/>
        <v>0</v>
      </c>
      <c r="J154" s="515">
        <f t="shared" si="16"/>
        <v>0</v>
      </c>
      <c r="S154" s="511">
        <v>0</v>
      </c>
    </row>
    <row r="155" spans="1:19" ht="15" customHeight="1" x14ac:dyDescent="0.25">
      <c r="A155" s="187"/>
      <c r="B155" s="186" t="s">
        <v>227</v>
      </c>
      <c r="C155" s="132">
        <f>+'ENERO '!C155+FEBRERO!C155+MARZO!C155+ABRIL!C155+MAYO!C155+JUNIO!C155+JULIO!C155+AGOSTO!C155+SEPTIEMBRE!C155+OCTUBRE!C155+NOVIEMBRE!C155+DICIEMBRE!C155</f>
        <v>3392</v>
      </c>
      <c r="D155" s="100"/>
      <c r="E155" s="101">
        <f>SUM(E153:E154)</f>
        <v>2561580</v>
      </c>
      <c r="F155" s="21"/>
      <c r="G155" s="511">
        <f t="shared" si="13"/>
        <v>365940</v>
      </c>
      <c r="H155" s="511">
        <f t="shared" si="14"/>
        <v>4391280</v>
      </c>
      <c r="I155" s="511">
        <f t="shared" si="15"/>
        <v>439128</v>
      </c>
      <c r="J155" s="515">
        <f t="shared" si="16"/>
        <v>4830408</v>
      </c>
      <c r="S155" s="511">
        <v>1914060</v>
      </c>
    </row>
    <row r="156" spans="1:19" x14ac:dyDescent="0.25">
      <c r="A156" s="21"/>
      <c r="B156" s="21"/>
      <c r="C156" s="21"/>
      <c r="D156" s="21"/>
      <c r="E156" s="21"/>
      <c r="F156" s="21"/>
      <c r="G156" s="511">
        <f t="shared" si="13"/>
        <v>0</v>
      </c>
      <c r="H156" s="511">
        <f t="shared" si="14"/>
        <v>0</v>
      </c>
      <c r="I156" s="511">
        <f t="shared" si="15"/>
        <v>0</v>
      </c>
      <c r="J156" s="515">
        <f t="shared" si="16"/>
        <v>0</v>
      </c>
    </row>
    <row r="157" spans="1:19" x14ac:dyDescent="0.25">
      <c r="A157" s="21"/>
      <c r="B157" s="21"/>
      <c r="C157" s="21"/>
      <c r="D157" s="21"/>
      <c r="E157" s="21"/>
      <c r="F157" s="21"/>
      <c r="G157" s="511">
        <f t="shared" si="13"/>
        <v>0</v>
      </c>
      <c r="H157" s="511">
        <f t="shared" si="14"/>
        <v>0</v>
      </c>
      <c r="I157" s="511">
        <f t="shared" si="15"/>
        <v>0</v>
      </c>
      <c r="J157" s="515">
        <f t="shared" si="16"/>
        <v>0</v>
      </c>
    </row>
    <row r="158" spans="1:19" ht="18" customHeight="1" x14ac:dyDescent="0.25">
      <c r="A158" s="567" t="s">
        <v>228</v>
      </c>
      <c r="B158" s="568"/>
      <c r="C158" s="568"/>
      <c r="D158" s="568"/>
      <c r="E158" s="569"/>
      <c r="F158" s="18"/>
      <c r="G158" s="511">
        <f t="shared" si="13"/>
        <v>0</v>
      </c>
      <c r="H158" s="511">
        <f t="shared" si="14"/>
        <v>0</v>
      </c>
      <c r="I158" s="511">
        <f t="shared" si="15"/>
        <v>0</v>
      </c>
      <c r="J158" s="515">
        <f t="shared" si="16"/>
        <v>0</v>
      </c>
    </row>
    <row r="159" spans="1:19" ht="47.25" customHeight="1" x14ac:dyDescent="0.25">
      <c r="A159" s="1" t="s">
        <v>8</v>
      </c>
      <c r="B159" s="1" t="s">
        <v>9</v>
      </c>
      <c r="C159" s="227" t="s">
        <v>10</v>
      </c>
      <c r="D159" s="3" t="s">
        <v>11</v>
      </c>
      <c r="E159" s="229" t="s">
        <v>12</v>
      </c>
      <c r="F159" s="21"/>
    </row>
    <row r="160" spans="1:19" ht="15" customHeight="1" x14ac:dyDescent="0.25">
      <c r="A160" s="179" t="s">
        <v>229</v>
      </c>
      <c r="B160" s="175" t="s">
        <v>230</v>
      </c>
      <c r="C160" s="132">
        <f>+'ENERO '!C160+FEBRERO!C160+MARZO!C160+ABRIL!C160+MAYO!C160+JUNIO!C160+JULIO!C160+AGOSTO!C160+SEPTIEMBRE!C160+OCTUBRE!C160+NOVIEMBRE!C160+DICIEMBRE!C160</f>
        <v>0</v>
      </c>
      <c r="D160" s="31">
        <f>+[1]BS17A!$U1481</f>
        <v>40370</v>
      </c>
      <c r="E160" s="132">
        <f>+'ENERO '!E160+FEBRERO!E160+MARZO!E160+ABRIL!E160+MAYO!E160+JUNIO!E160+JULIO!E160+AGOSTO!E160+SEPTIEMBRE!E160+OCTUBRE!E160+NOVIEMBRE!E160+DICIEMBRE!E160</f>
        <v>0</v>
      </c>
      <c r="F160" s="21"/>
      <c r="G160" s="511">
        <f t="shared" si="13"/>
        <v>0</v>
      </c>
      <c r="H160" s="511">
        <f t="shared" si="14"/>
        <v>0</v>
      </c>
      <c r="I160" s="511">
        <f t="shared" si="15"/>
        <v>0</v>
      </c>
      <c r="J160" s="515">
        <f t="shared" si="16"/>
        <v>0</v>
      </c>
    </row>
    <row r="161" spans="1:19" ht="15" customHeight="1" x14ac:dyDescent="0.25">
      <c r="A161" s="180" t="s">
        <v>231</v>
      </c>
      <c r="B161" s="177" t="s">
        <v>232</v>
      </c>
      <c r="C161" s="132">
        <f>+'ENERO '!C161+FEBRERO!C161+MARZO!C161+ABRIL!C161+MAYO!C161+JUNIO!C161+JULIO!C161+AGOSTO!C161+SEPTIEMBRE!C161+OCTUBRE!C161+NOVIEMBRE!C161+DICIEMBRE!C161</f>
        <v>0</v>
      </c>
      <c r="D161" s="26">
        <f>+[1]BS17A!$U1482</f>
        <v>25390</v>
      </c>
      <c r="E161" s="132">
        <f>+'ENERO '!E161+FEBRERO!E161+MARZO!E161+ABRIL!E161+MAYO!E161+JUNIO!E161+JULIO!E161+AGOSTO!E161+SEPTIEMBRE!E161+OCTUBRE!E161+NOVIEMBRE!E161+DICIEMBRE!E161</f>
        <v>0</v>
      </c>
      <c r="F161" s="21"/>
      <c r="G161" s="511">
        <f t="shared" si="13"/>
        <v>0</v>
      </c>
      <c r="H161" s="511">
        <f t="shared" si="14"/>
        <v>0</v>
      </c>
      <c r="I161" s="511">
        <f t="shared" si="15"/>
        <v>0</v>
      </c>
      <c r="J161" s="515">
        <f t="shared" si="16"/>
        <v>0</v>
      </c>
    </row>
    <row r="162" spans="1:19" ht="15" customHeight="1" x14ac:dyDescent="0.25">
      <c r="A162" s="180" t="s">
        <v>233</v>
      </c>
      <c r="B162" s="176" t="s">
        <v>234</v>
      </c>
      <c r="C162" s="132">
        <f>+'ENERO '!C162+FEBRERO!C162+MARZO!C162+ABRIL!C162+MAYO!C162+JUNIO!C162+JULIO!C162+AGOSTO!C162+SEPTIEMBRE!C162+OCTUBRE!C162+NOVIEMBRE!C162+DICIEMBRE!C162</f>
        <v>0</v>
      </c>
      <c r="D162" s="26">
        <f>+[1]BS17A!$U1483</f>
        <v>26150</v>
      </c>
      <c r="E162" s="132">
        <f>+'ENERO '!E162+FEBRERO!E162+MARZO!E162+ABRIL!E162+MAYO!E162+JUNIO!E162+JULIO!E162+AGOSTO!E162+SEPTIEMBRE!E162+OCTUBRE!E162+NOVIEMBRE!E162+DICIEMBRE!E162</f>
        <v>0</v>
      </c>
      <c r="F162" s="21"/>
      <c r="G162" s="511">
        <f t="shared" si="13"/>
        <v>0</v>
      </c>
      <c r="H162" s="511">
        <f t="shared" si="14"/>
        <v>0</v>
      </c>
      <c r="I162" s="511">
        <f t="shared" si="15"/>
        <v>0</v>
      </c>
      <c r="J162" s="515">
        <f t="shared" si="16"/>
        <v>0</v>
      </c>
    </row>
    <row r="163" spans="1:19" ht="15" customHeight="1" x14ac:dyDescent="0.25">
      <c r="A163" s="180" t="s">
        <v>235</v>
      </c>
      <c r="B163" s="177" t="s">
        <v>236</v>
      </c>
      <c r="C163" s="132">
        <f>+'ENERO '!C163+FEBRERO!C163+MARZO!C163+ABRIL!C163+MAYO!C163+JUNIO!C163+JULIO!C163+AGOSTO!C163+SEPTIEMBRE!C163+OCTUBRE!C163+NOVIEMBRE!C163+DICIEMBRE!C163</f>
        <v>0</v>
      </c>
      <c r="D163" s="26">
        <f>+[1]BS17A!$U1484</f>
        <v>784500</v>
      </c>
      <c r="E163" s="132">
        <f>+'ENERO '!E163+FEBRERO!E163+MARZO!E163+ABRIL!E163+MAYO!E163+JUNIO!E163+JULIO!E163+AGOSTO!E163+SEPTIEMBRE!E163+OCTUBRE!E163+NOVIEMBRE!E163+DICIEMBRE!E163</f>
        <v>0</v>
      </c>
      <c r="F163" s="21"/>
      <c r="G163" s="511">
        <f t="shared" si="13"/>
        <v>0</v>
      </c>
      <c r="H163" s="511">
        <f t="shared" si="14"/>
        <v>0</v>
      </c>
      <c r="I163" s="511">
        <f t="shared" si="15"/>
        <v>0</v>
      </c>
      <c r="J163" s="515">
        <f t="shared" si="16"/>
        <v>0</v>
      </c>
    </row>
    <row r="164" spans="1:19" ht="15" customHeight="1" x14ac:dyDescent="0.25">
      <c r="A164" s="180" t="s">
        <v>237</v>
      </c>
      <c r="B164" s="177" t="s">
        <v>238</v>
      </c>
      <c r="C164" s="132">
        <f>+'ENERO '!C164+FEBRERO!C164+MARZO!C164+ABRIL!C164+MAYO!C164+JUNIO!C164+JULIO!C164+AGOSTO!C164+SEPTIEMBRE!C164+OCTUBRE!C164+NOVIEMBRE!C164+DICIEMBRE!C164</f>
        <v>0</v>
      </c>
      <c r="D164" s="26">
        <f>+[1]BS17A!$U1485</f>
        <v>356330</v>
      </c>
      <c r="E164" s="132">
        <f>+'ENERO '!E164+FEBRERO!E164+MARZO!E164+ABRIL!E164+MAYO!E164+JUNIO!E164+JULIO!E164+AGOSTO!E164+SEPTIEMBRE!E164+OCTUBRE!E164+NOVIEMBRE!E164+DICIEMBRE!E164</f>
        <v>0</v>
      </c>
      <c r="F164" s="21"/>
      <c r="G164" s="511">
        <f t="shared" si="13"/>
        <v>0</v>
      </c>
      <c r="H164" s="511">
        <f t="shared" si="14"/>
        <v>0</v>
      </c>
      <c r="I164" s="511">
        <f t="shared" si="15"/>
        <v>0</v>
      </c>
      <c r="J164" s="515">
        <f t="shared" si="16"/>
        <v>0</v>
      </c>
    </row>
    <row r="165" spans="1:19" ht="15" customHeight="1" x14ac:dyDescent="0.25">
      <c r="A165" s="180" t="s">
        <v>239</v>
      </c>
      <c r="B165" s="177" t="s">
        <v>240</v>
      </c>
      <c r="C165" s="132">
        <f>+'ENERO '!C165+FEBRERO!C165+MARZO!C165+ABRIL!C165+MAYO!C165+JUNIO!C165+JULIO!C165+AGOSTO!C165+SEPTIEMBRE!C165+OCTUBRE!C165+NOVIEMBRE!C165+DICIEMBRE!C165</f>
        <v>0</v>
      </c>
      <c r="D165" s="26">
        <f>+[1]BS17A!$U1486</f>
        <v>544860</v>
      </c>
      <c r="E165" s="132">
        <f>+'ENERO '!E165+FEBRERO!E165+MARZO!E165+ABRIL!E165+MAYO!E165+JUNIO!E165+JULIO!E165+AGOSTO!E165+SEPTIEMBRE!E165+OCTUBRE!E165+NOVIEMBRE!E165+DICIEMBRE!E165</f>
        <v>0</v>
      </c>
      <c r="F165" s="21"/>
      <c r="G165" s="511">
        <f t="shared" si="13"/>
        <v>0</v>
      </c>
      <c r="H165" s="511">
        <f t="shared" si="14"/>
        <v>0</v>
      </c>
      <c r="I165" s="511">
        <f t="shared" si="15"/>
        <v>0</v>
      </c>
      <c r="J165" s="515">
        <f t="shared" si="16"/>
        <v>0</v>
      </c>
    </row>
    <row r="166" spans="1:19" ht="15" customHeight="1" x14ac:dyDescent="0.25">
      <c r="A166" s="207" t="s">
        <v>241</v>
      </c>
      <c r="B166" s="205" t="s">
        <v>242</v>
      </c>
      <c r="C166" s="132">
        <f>+'ENERO '!C166+FEBRERO!C166+MARZO!C166+ABRIL!C166+MAYO!C166+JUNIO!C166+JULIO!C166+AGOSTO!C166+SEPTIEMBRE!C166+OCTUBRE!C166+NOVIEMBRE!C166+DICIEMBRE!C166</f>
        <v>0</v>
      </c>
      <c r="D166" s="26">
        <f>+[1]BS17A!$U1487</f>
        <v>49130</v>
      </c>
      <c r="E166" s="132">
        <f>+'ENERO '!E166+FEBRERO!E166+MARZO!E166+ABRIL!E166+MAYO!E166+JUNIO!E166+JULIO!E166+AGOSTO!E166+SEPTIEMBRE!E166+OCTUBRE!E166+NOVIEMBRE!E166+DICIEMBRE!E166</f>
        <v>0</v>
      </c>
      <c r="F166" s="21"/>
      <c r="G166" s="511">
        <f t="shared" si="13"/>
        <v>0</v>
      </c>
      <c r="H166" s="511">
        <f t="shared" si="14"/>
        <v>0</v>
      </c>
      <c r="I166" s="511">
        <f t="shared" si="15"/>
        <v>0</v>
      </c>
      <c r="J166" s="515">
        <f t="shared" si="16"/>
        <v>0</v>
      </c>
    </row>
    <row r="167" spans="1:19" ht="15" customHeight="1" x14ac:dyDescent="0.25">
      <c r="A167" s="208">
        <v>1901029</v>
      </c>
      <c r="B167" s="206" t="s">
        <v>243</v>
      </c>
      <c r="C167" s="132">
        <f>+'ENERO '!C167+FEBRERO!C167+MARZO!C167+ABRIL!C167+MAYO!C167+JUNIO!C167+JULIO!C167+AGOSTO!C167+SEPTIEMBRE!C167+OCTUBRE!C167+NOVIEMBRE!C167+DICIEMBRE!C167</f>
        <v>0</v>
      </c>
      <c r="D167" s="33">
        <f>+[1]BS17A!$U1488</f>
        <v>638670</v>
      </c>
      <c r="E167" s="132">
        <f>+'ENERO '!E167+FEBRERO!E167+MARZO!E167+ABRIL!E167+MAYO!E167+JUNIO!E167+JULIO!E167+AGOSTO!E167+SEPTIEMBRE!E167+OCTUBRE!E167+NOVIEMBRE!E167+DICIEMBRE!E167</f>
        <v>0</v>
      </c>
      <c r="F167" s="21"/>
      <c r="G167" s="511">
        <f t="shared" si="13"/>
        <v>0</v>
      </c>
      <c r="H167" s="511">
        <f t="shared" si="14"/>
        <v>0</v>
      </c>
      <c r="I167" s="511">
        <f t="shared" si="15"/>
        <v>0</v>
      </c>
      <c r="J167" s="515">
        <f t="shared" si="16"/>
        <v>0</v>
      </c>
    </row>
    <row r="168" spans="1:19" ht="15" customHeight="1" x14ac:dyDescent="0.25">
      <c r="A168" s="86"/>
      <c r="B168" s="103" t="s">
        <v>244</v>
      </c>
      <c r="C168" s="132">
        <f>+'ENERO '!C168+FEBRERO!C168+MARZO!C168+ABRIL!C168+MAYO!C168+JUNIO!C168+JULIO!C168+AGOSTO!C168+SEPTIEMBRE!C168+OCTUBRE!C168+NOVIEMBRE!C168+DICIEMBRE!C168</f>
        <v>0</v>
      </c>
      <c r="D168" s="105"/>
      <c r="E168" s="106">
        <f>SUM(E160:E167)</f>
        <v>0</v>
      </c>
      <c r="F168" s="21"/>
      <c r="G168" s="511">
        <f t="shared" si="13"/>
        <v>0</v>
      </c>
      <c r="H168" s="511">
        <f t="shared" si="14"/>
        <v>0</v>
      </c>
      <c r="I168" s="511">
        <f t="shared" si="15"/>
        <v>0</v>
      </c>
      <c r="J168" s="515">
        <f t="shared" si="16"/>
        <v>0</v>
      </c>
    </row>
    <row r="169" spans="1:19" x14ac:dyDescent="0.25">
      <c r="A169" s="21"/>
      <c r="B169" s="21"/>
      <c r="C169" s="21"/>
      <c r="D169" s="21"/>
      <c r="E169" s="21"/>
      <c r="F169" s="21"/>
      <c r="G169" s="511">
        <f t="shared" si="13"/>
        <v>0</v>
      </c>
      <c r="H169" s="511">
        <f t="shared" si="14"/>
        <v>0</v>
      </c>
      <c r="I169" s="511">
        <f t="shared" si="15"/>
        <v>0</v>
      </c>
      <c r="J169" s="515">
        <f t="shared" si="16"/>
        <v>0</v>
      </c>
    </row>
    <row r="170" spans="1:19" ht="18" customHeight="1" x14ac:dyDescent="0.25">
      <c r="A170" s="21"/>
      <c r="B170" s="21"/>
      <c r="C170" s="21"/>
      <c r="D170" s="21"/>
      <c r="E170" s="21"/>
      <c r="F170" s="21"/>
      <c r="G170" s="511">
        <f t="shared" si="13"/>
        <v>0</v>
      </c>
      <c r="H170" s="511">
        <f t="shared" si="14"/>
        <v>0</v>
      </c>
      <c r="I170" s="511">
        <f t="shared" si="15"/>
        <v>0</v>
      </c>
      <c r="J170" s="515">
        <f t="shared" si="16"/>
        <v>0</v>
      </c>
    </row>
    <row r="171" spans="1:19" ht="18" customHeight="1" x14ac:dyDescent="0.25">
      <c r="A171" s="549" t="s">
        <v>245</v>
      </c>
      <c r="B171" s="550"/>
      <c r="C171" s="550"/>
      <c r="D171" s="550"/>
      <c r="E171" s="551"/>
      <c r="F171" s="18"/>
      <c r="G171" s="511">
        <f t="shared" si="13"/>
        <v>0</v>
      </c>
      <c r="H171" s="511">
        <f t="shared" si="14"/>
        <v>0</v>
      </c>
      <c r="I171" s="511">
        <f t="shared" si="15"/>
        <v>0</v>
      </c>
      <c r="J171" s="515">
        <f t="shared" si="16"/>
        <v>0</v>
      </c>
    </row>
    <row r="172" spans="1:19" ht="46.5" customHeight="1" x14ac:dyDescent="0.25">
      <c r="A172" s="1" t="s">
        <v>8</v>
      </c>
      <c r="B172" s="1" t="s">
        <v>9</v>
      </c>
      <c r="C172" s="227" t="s">
        <v>10</v>
      </c>
      <c r="D172" s="3" t="s">
        <v>11</v>
      </c>
      <c r="E172" s="229" t="s">
        <v>12</v>
      </c>
      <c r="F172" s="21"/>
    </row>
    <row r="173" spans="1:19" ht="12.75" customHeight="1" x14ac:dyDescent="0.25">
      <c r="A173" s="203">
        <v>1101004</v>
      </c>
      <c r="B173" s="9" t="s">
        <v>246</v>
      </c>
      <c r="C173" s="132">
        <f>+'ENERO '!C173+FEBRERO!C173+MARZO!C173+ABRIL!C173+MAYO!C173+JUNIO!C173+JULIO!C173+AGOSTO!C173+SEPTIEMBRE!C173+OCTUBRE!C173+NOVIEMBRE!C173+DICIEMBRE!C173</f>
        <v>129</v>
      </c>
      <c r="D173" s="31">
        <f>+[1]BS17A!$U805</f>
        <v>13840</v>
      </c>
      <c r="E173" s="132">
        <f>+'ENERO '!E173+FEBRERO!E173+MARZO!E173+ABRIL!E173+MAYO!E173+JUNIO!E173+JULIO!E173+AGOSTO!E173+SEPTIEMBRE!E173+OCTUBRE!E173+NOVIEMBRE!E173+DICIEMBRE!E173</f>
        <v>1830300</v>
      </c>
      <c r="F173" s="21"/>
      <c r="G173" s="511">
        <f t="shared" si="13"/>
        <v>261471.42857142858</v>
      </c>
      <c r="H173" s="511">
        <f t="shared" si="14"/>
        <v>3137657.1428571427</v>
      </c>
      <c r="I173" s="511">
        <f t="shared" si="15"/>
        <v>313765.71428571426</v>
      </c>
      <c r="J173" s="515">
        <f t="shared" si="16"/>
        <v>3451422.8571428568</v>
      </c>
      <c r="S173" s="511">
        <v>1416760</v>
      </c>
    </row>
    <row r="174" spans="1:19" ht="12.75" customHeight="1" x14ac:dyDescent="0.25">
      <c r="A174" s="202">
        <v>1101006</v>
      </c>
      <c r="B174" s="10" t="s">
        <v>247</v>
      </c>
      <c r="C174" s="132">
        <f>+'ENERO '!C174+FEBRERO!C174+MARZO!C174+ABRIL!C174+MAYO!C174+JUNIO!C174+JULIO!C174+AGOSTO!C174+SEPTIEMBRE!C174+OCTUBRE!C174+NOVIEMBRE!C174+DICIEMBRE!C174</f>
        <v>17</v>
      </c>
      <c r="D174" s="26">
        <f>+[1]BS17A!$U806</f>
        <v>11070</v>
      </c>
      <c r="E174" s="132">
        <f>+'ENERO '!E174+FEBRERO!E174+MARZO!E174+ABRIL!E174+MAYO!E174+JUNIO!E174+JULIO!E174+AGOSTO!E174+SEPTIEMBRE!E174+OCTUBRE!E174+NOVIEMBRE!E174+DICIEMBRE!E174</f>
        <v>188190</v>
      </c>
      <c r="F174" s="21"/>
      <c r="G174" s="511">
        <f t="shared" si="13"/>
        <v>26884.285714285714</v>
      </c>
      <c r="H174" s="511">
        <f t="shared" si="14"/>
        <v>322611.42857142858</v>
      </c>
      <c r="I174" s="511">
        <f t="shared" si="15"/>
        <v>32261.142857142859</v>
      </c>
      <c r="J174" s="515">
        <f t="shared" si="16"/>
        <v>354872.57142857142</v>
      </c>
      <c r="S174" s="511">
        <v>188190</v>
      </c>
    </row>
    <row r="175" spans="1:19" ht="24.75" customHeight="1" x14ac:dyDescent="0.25">
      <c r="A175" s="202" t="s">
        <v>248</v>
      </c>
      <c r="B175" s="11" t="s">
        <v>249</v>
      </c>
      <c r="C175" s="132">
        <f>+'ENERO '!C175+FEBRERO!C175+MARZO!C175+ABRIL!C175+MAYO!C175+JUNIO!C175+JULIO!C175+AGOSTO!C175+SEPTIEMBRE!C175+OCTUBRE!C175+NOVIEMBRE!C175+DICIEMBRE!C175</f>
        <v>7203</v>
      </c>
      <c r="D175" s="26">
        <f>+[1]BS17A!$U1197</f>
        <v>4740</v>
      </c>
      <c r="E175" s="132">
        <f>+'ENERO '!E175+FEBRERO!E175+MARZO!E175+ABRIL!E175+MAYO!E175+JUNIO!E175+JULIO!E175+AGOSTO!E175+SEPTIEMBRE!E175+OCTUBRE!E175+NOVIEMBRE!E175+DICIEMBRE!E175</f>
        <v>34891780</v>
      </c>
      <c r="F175" s="21"/>
      <c r="G175" s="511">
        <f t="shared" si="13"/>
        <v>4984540</v>
      </c>
      <c r="H175" s="511">
        <f t="shared" si="14"/>
        <v>59814480</v>
      </c>
      <c r="I175" s="511">
        <f t="shared" si="15"/>
        <v>5981448</v>
      </c>
      <c r="J175" s="515">
        <f t="shared" si="16"/>
        <v>65795928</v>
      </c>
      <c r="S175" s="511">
        <v>27503460</v>
      </c>
    </row>
    <row r="176" spans="1:19" ht="24.75" customHeight="1" x14ac:dyDescent="0.25">
      <c r="A176" s="202" t="s">
        <v>250</v>
      </c>
      <c r="B176" s="11" t="s">
        <v>251</v>
      </c>
      <c r="C176" s="132">
        <f>+'ENERO '!C176+FEBRERO!C176+MARZO!C176+ABRIL!C176+MAYO!C176+JUNIO!C176+JULIO!C176+AGOSTO!C176+SEPTIEMBRE!C176+OCTUBRE!C176+NOVIEMBRE!C176+DICIEMBRE!C176</f>
        <v>119</v>
      </c>
      <c r="D176" s="26">
        <f>+[1]BS17A!$U1198</f>
        <v>13370</v>
      </c>
      <c r="E176" s="132">
        <f>+'ENERO '!E176+FEBRERO!E176+MARZO!E176+ABRIL!E176+MAYO!E176+JUNIO!E176+JULIO!E176+AGOSTO!E176+SEPTIEMBRE!E176+OCTUBRE!E176+NOVIEMBRE!E176+DICIEMBRE!E176</f>
        <v>1632230</v>
      </c>
      <c r="F176" s="21"/>
      <c r="G176" s="511">
        <f t="shared" si="13"/>
        <v>233175.71428571429</v>
      </c>
      <c r="H176" s="511">
        <f t="shared" si="14"/>
        <v>2798108.5714285714</v>
      </c>
      <c r="I176" s="511">
        <f t="shared" si="15"/>
        <v>279810.85714285716</v>
      </c>
      <c r="J176" s="515">
        <f t="shared" si="16"/>
        <v>3077919.4285714286</v>
      </c>
      <c r="S176" s="511">
        <v>1053890</v>
      </c>
    </row>
    <row r="177" spans="1:19" ht="24.75" customHeight="1" x14ac:dyDescent="0.25">
      <c r="A177" s="202" t="s">
        <v>252</v>
      </c>
      <c r="B177" s="11" t="s">
        <v>253</v>
      </c>
      <c r="C177" s="132">
        <f>+'ENERO '!C177+FEBRERO!C177+MARZO!C177+ABRIL!C177+MAYO!C177+JUNIO!C177+JULIO!C177+AGOSTO!C177+SEPTIEMBRE!C177+OCTUBRE!C177+NOVIEMBRE!C177+DICIEMBRE!C177</f>
        <v>370</v>
      </c>
      <c r="D177" s="26">
        <f>+[1]BS17A!$U1199</f>
        <v>22670</v>
      </c>
      <c r="E177" s="132">
        <f>+'ENERO '!E177+FEBRERO!E177+MARZO!E177+ABRIL!E177+MAYO!E177+JUNIO!E177+JULIO!E177+AGOSTO!E177+SEPTIEMBRE!E177+OCTUBRE!E177+NOVIEMBRE!E177+DICIEMBRE!E177</f>
        <v>8597340</v>
      </c>
      <c r="F177" s="21"/>
      <c r="G177" s="511">
        <f t="shared" si="13"/>
        <v>1228191.4285714286</v>
      </c>
      <c r="H177" s="511">
        <f t="shared" si="14"/>
        <v>14738297.142857144</v>
      </c>
      <c r="I177" s="511">
        <f t="shared" si="15"/>
        <v>1473829.7142857146</v>
      </c>
      <c r="J177" s="515">
        <f t="shared" si="16"/>
        <v>16212126.857142858</v>
      </c>
      <c r="S177" s="511">
        <v>6075540</v>
      </c>
    </row>
    <row r="178" spans="1:19" ht="12.75" customHeight="1" x14ac:dyDescent="0.25">
      <c r="A178" s="202" t="s">
        <v>254</v>
      </c>
      <c r="B178" s="11" t="s">
        <v>255</v>
      </c>
      <c r="C178" s="132">
        <f>+'ENERO '!C178+FEBRERO!C178+MARZO!C178+ABRIL!C178+MAYO!C178+JUNIO!C178+JULIO!C178+AGOSTO!C178+SEPTIEMBRE!C178+OCTUBRE!C178+NOVIEMBRE!C178+DICIEMBRE!C178</f>
        <v>0</v>
      </c>
      <c r="D178" s="26">
        <f>+[1]BS17A!$U1200</f>
        <v>43280</v>
      </c>
      <c r="E178" s="132">
        <f>+'ENERO '!E178+FEBRERO!E178+MARZO!E178+ABRIL!E178+MAYO!E178+JUNIO!E178+JULIO!E178+AGOSTO!E178+SEPTIEMBRE!E178+OCTUBRE!E178+NOVIEMBRE!E178+DICIEMBRE!E178</f>
        <v>0</v>
      </c>
      <c r="F178" s="21"/>
      <c r="G178" s="511">
        <f t="shared" si="13"/>
        <v>0</v>
      </c>
      <c r="H178" s="511">
        <f t="shared" si="14"/>
        <v>0</v>
      </c>
      <c r="I178" s="511">
        <f t="shared" si="15"/>
        <v>0</v>
      </c>
      <c r="J178" s="515">
        <f t="shared" si="16"/>
        <v>0</v>
      </c>
      <c r="S178" s="511">
        <v>0</v>
      </c>
    </row>
    <row r="179" spans="1:19" ht="12.75" customHeight="1" x14ac:dyDescent="0.25">
      <c r="A179" s="202" t="s">
        <v>256</v>
      </c>
      <c r="B179" s="11" t="s">
        <v>257</v>
      </c>
      <c r="C179" s="132">
        <f>+'ENERO '!C179+FEBRERO!C179+MARZO!C179+ABRIL!C179+MAYO!C179+JUNIO!C179+JULIO!C179+AGOSTO!C179+SEPTIEMBRE!C179+OCTUBRE!C179+NOVIEMBRE!C179+DICIEMBRE!C179</f>
        <v>1420</v>
      </c>
      <c r="D179" s="26">
        <f>+[1]BS17A!$U1201</f>
        <v>48240</v>
      </c>
      <c r="E179" s="132">
        <f>+'ENERO '!E179+FEBRERO!E179+MARZO!E179+ABRIL!E179+MAYO!E179+JUNIO!E179+JULIO!E179+AGOSTO!E179+SEPTIEMBRE!E179+OCTUBRE!E179+NOVIEMBRE!E179+DICIEMBRE!E179</f>
        <v>70384350</v>
      </c>
      <c r="F179" s="21"/>
      <c r="G179" s="511">
        <f t="shared" si="13"/>
        <v>10054907.142857144</v>
      </c>
      <c r="H179" s="511">
        <f t="shared" si="14"/>
        <v>120658885.71428573</v>
      </c>
      <c r="I179" s="511">
        <f t="shared" si="15"/>
        <v>12065888.571428575</v>
      </c>
      <c r="J179" s="515">
        <f t="shared" si="16"/>
        <v>132724774.2857143</v>
      </c>
      <c r="S179" s="511">
        <v>43154230</v>
      </c>
    </row>
    <row r="180" spans="1:19" ht="24.75" customHeight="1" x14ac:dyDescent="0.25">
      <c r="A180" s="202" t="s">
        <v>258</v>
      </c>
      <c r="B180" s="11" t="s">
        <v>259</v>
      </c>
      <c r="C180" s="132">
        <f>+'ENERO '!C180+FEBRERO!C180+MARZO!C180+ABRIL!C180+MAYO!C180+JUNIO!C180+JULIO!C180+AGOSTO!C180+SEPTIEMBRE!C180+OCTUBRE!C180+NOVIEMBRE!C180+DICIEMBRE!C180</f>
        <v>0</v>
      </c>
      <c r="D180" s="26">
        <f>+[1]BS17A!$U1202</f>
        <v>27060</v>
      </c>
      <c r="E180" s="132">
        <f>+'ENERO '!E180+FEBRERO!E180+MARZO!E180+ABRIL!E180+MAYO!E180+JUNIO!E180+JULIO!E180+AGOSTO!E180+SEPTIEMBRE!E180+OCTUBRE!E180+NOVIEMBRE!E180+DICIEMBRE!E180</f>
        <v>0</v>
      </c>
      <c r="F180" s="21"/>
      <c r="G180" s="511">
        <f t="shared" si="13"/>
        <v>0</v>
      </c>
      <c r="H180" s="511">
        <f t="shared" si="14"/>
        <v>0</v>
      </c>
      <c r="I180" s="511">
        <f t="shared" si="15"/>
        <v>0</v>
      </c>
      <c r="J180" s="515">
        <f t="shared" si="16"/>
        <v>0</v>
      </c>
      <c r="S180" s="511">
        <v>0</v>
      </c>
    </row>
    <row r="181" spans="1:19" ht="12.75" customHeight="1" x14ac:dyDescent="0.25">
      <c r="A181" s="202" t="s">
        <v>260</v>
      </c>
      <c r="B181" s="12" t="s">
        <v>261</v>
      </c>
      <c r="C181" s="132">
        <f>+'ENERO '!C181+FEBRERO!C181+MARZO!C181+ABRIL!C181+MAYO!C181+JUNIO!C181+JULIO!C181+AGOSTO!C181+SEPTIEMBRE!C181+OCTUBRE!C181+NOVIEMBRE!C181+DICIEMBRE!C181</f>
        <v>0</v>
      </c>
      <c r="D181" s="26">
        <f>+[1]BS17A!$U1203</f>
        <v>209350</v>
      </c>
      <c r="E181" s="132">
        <f>+'ENERO '!E181+FEBRERO!E181+MARZO!E181+ABRIL!E181+MAYO!E181+JUNIO!E181+JULIO!E181+AGOSTO!E181+SEPTIEMBRE!E181+OCTUBRE!E181+NOVIEMBRE!E181+DICIEMBRE!E181</f>
        <v>0</v>
      </c>
      <c r="F181" s="21"/>
      <c r="G181" s="511">
        <f t="shared" si="13"/>
        <v>0</v>
      </c>
      <c r="H181" s="511">
        <f t="shared" si="14"/>
        <v>0</v>
      </c>
      <c r="I181" s="511">
        <f t="shared" si="15"/>
        <v>0</v>
      </c>
      <c r="J181" s="515">
        <f t="shared" si="16"/>
        <v>0</v>
      </c>
      <c r="S181" s="511">
        <v>0</v>
      </c>
    </row>
    <row r="182" spans="1:19" ht="12.75" customHeight="1" x14ac:dyDescent="0.25">
      <c r="A182" s="202" t="s">
        <v>262</v>
      </c>
      <c r="B182" s="11" t="s">
        <v>263</v>
      </c>
      <c r="C182" s="132">
        <f>+'ENERO '!C182+FEBRERO!C182+MARZO!C182+ABRIL!C182+MAYO!C182+JUNIO!C182+JULIO!C182+AGOSTO!C182+SEPTIEMBRE!C182+OCTUBRE!C182+NOVIEMBRE!C182+DICIEMBRE!C182</f>
        <v>0</v>
      </c>
      <c r="D182" s="26">
        <f>+[1]BS17A!$U1204</f>
        <v>238000</v>
      </c>
      <c r="E182" s="132">
        <f>+'ENERO '!E182+FEBRERO!E182+MARZO!E182+ABRIL!E182+MAYO!E182+JUNIO!E182+JULIO!E182+AGOSTO!E182+SEPTIEMBRE!E182+OCTUBRE!E182+NOVIEMBRE!E182+DICIEMBRE!E182</f>
        <v>0</v>
      </c>
      <c r="F182" s="21"/>
      <c r="G182" s="511">
        <f t="shared" si="13"/>
        <v>0</v>
      </c>
      <c r="H182" s="511">
        <f t="shared" si="14"/>
        <v>0</v>
      </c>
      <c r="I182" s="511">
        <f t="shared" si="15"/>
        <v>0</v>
      </c>
      <c r="J182" s="515">
        <f t="shared" si="16"/>
        <v>0</v>
      </c>
      <c r="S182" s="511">
        <v>0</v>
      </c>
    </row>
    <row r="183" spans="1:19" ht="12.75" customHeight="1" x14ac:dyDescent="0.25">
      <c r="A183" s="202" t="s">
        <v>264</v>
      </c>
      <c r="B183" s="11" t="s">
        <v>265</v>
      </c>
      <c r="C183" s="132">
        <f>+'ENERO '!C183+FEBRERO!C183+MARZO!C183+ABRIL!C183+MAYO!C183+JUNIO!C183+JULIO!C183+AGOSTO!C183+SEPTIEMBRE!C183+OCTUBRE!C183+NOVIEMBRE!C183+DICIEMBRE!C183</f>
        <v>0</v>
      </c>
      <c r="D183" s="26">
        <f>+[1]BS17A!$U1205</f>
        <v>194080</v>
      </c>
      <c r="E183" s="132">
        <f>+'ENERO '!E183+FEBRERO!E183+MARZO!E183+ABRIL!E183+MAYO!E183+JUNIO!E183+JULIO!E183+AGOSTO!E183+SEPTIEMBRE!E183+OCTUBRE!E183+NOVIEMBRE!E183+DICIEMBRE!E183</f>
        <v>0</v>
      </c>
      <c r="F183" s="21"/>
      <c r="G183" s="511">
        <f t="shared" si="13"/>
        <v>0</v>
      </c>
      <c r="H183" s="511">
        <f t="shared" si="14"/>
        <v>0</v>
      </c>
      <c r="I183" s="511">
        <f t="shared" si="15"/>
        <v>0</v>
      </c>
      <c r="J183" s="515">
        <f t="shared" si="16"/>
        <v>0</v>
      </c>
      <c r="S183" s="511">
        <v>0</v>
      </c>
    </row>
    <row r="184" spans="1:19" ht="24.75" customHeight="1" x14ac:dyDescent="0.25">
      <c r="A184" s="202" t="s">
        <v>266</v>
      </c>
      <c r="B184" s="12" t="s">
        <v>267</v>
      </c>
      <c r="C184" s="132">
        <f>+'ENERO '!C184+FEBRERO!C184+MARZO!C184+ABRIL!C184+MAYO!C184+JUNIO!C184+JULIO!C184+AGOSTO!C184+SEPTIEMBRE!C184+OCTUBRE!C184+NOVIEMBRE!C184+DICIEMBRE!C184</f>
        <v>0</v>
      </c>
      <c r="D184" s="26">
        <f>+[1]BS17A!$U1206</f>
        <v>249290</v>
      </c>
      <c r="E184" s="132">
        <f>+'ENERO '!E184+FEBRERO!E184+MARZO!E184+ABRIL!E184+MAYO!E184+JUNIO!E184+JULIO!E184+AGOSTO!E184+SEPTIEMBRE!E184+OCTUBRE!E184+NOVIEMBRE!E184+DICIEMBRE!E184</f>
        <v>0</v>
      </c>
      <c r="F184" s="21"/>
      <c r="G184" s="511">
        <f t="shared" si="13"/>
        <v>0</v>
      </c>
      <c r="H184" s="511">
        <f t="shared" si="14"/>
        <v>0</v>
      </c>
      <c r="I184" s="511">
        <f t="shared" si="15"/>
        <v>0</v>
      </c>
      <c r="J184" s="515">
        <f t="shared" si="16"/>
        <v>0</v>
      </c>
      <c r="S184" s="511">
        <v>0</v>
      </c>
    </row>
    <row r="185" spans="1:19" ht="24.75" customHeight="1" x14ac:dyDescent="0.25">
      <c r="A185" s="202" t="s">
        <v>268</v>
      </c>
      <c r="B185" s="12" t="s">
        <v>269</v>
      </c>
      <c r="C185" s="132">
        <f>+'ENERO '!C185+FEBRERO!C185+MARZO!C185+ABRIL!C185+MAYO!C185+JUNIO!C185+JULIO!C185+AGOSTO!C185+SEPTIEMBRE!C185+OCTUBRE!C185+NOVIEMBRE!C185+DICIEMBRE!C185</f>
        <v>0</v>
      </c>
      <c r="D185" s="26">
        <f>+[1]BS17A!$U1207</f>
        <v>255080</v>
      </c>
      <c r="E185" s="132">
        <f>+'ENERO '!E185+FEBRERO!E185+MARZO!E185+ABRIL!E185+MAYO!E185+JUNIO!E185+JULIO!E185+AGOSTO!E185+SEPTIEMBRE!E185+OCTUBRE!E185+NOVIEMBRE!E185+DICIEMBRE!E185</f>
        <v>0</v>
      </c>
      <c r="F185" s="21"/>
      <c r="G185" s="511">
        <f t="shared" si="13"/>
        <v>0</v>
      </c>
      <c r="H185" s="511">
        <f t="shared" si="14"/>
        <v>0</v>
      </c>
      <c r="I185" s="511">
        <f t="shared" si="15"/>
        <v>0</v>
      </c>
      <c r="J185" s="515">
        <f t="shared" si="16"/>
        <v>0</v>
      </c>
      <c r="S185" s="511">
        <v>0</v>
      </c>
    </row>
    <row r="186" spans="1:19" ht="24.75" customHeight="1" x14ac:dyDescent="0.25">
      <c r="A186" s="202" t="s">
        <v>270</v>
      </c>
      <c r="B186" s="12" t="s">
        <v>271</v>
      </c>
      <c r="C186" s="132">
        <f>+'ENERO '!C186+FEBRERO!C186+MARZO!C186+ABRIL!C186+MAYO!C186+JUNIO!C186+JULIO!C186+AGOSTO!C186+SEPTIEMBRE!C186+OCTUBRE!C186+NOVIEMBRE!C186+DICIEMBRE!C186</f>
        <v>0</v>
      </c>
      <c r="D186" s="26">
        <f>+[1]BS17A!$U1208</f>
        <v>215710</v>
      </c>
      <c r="E186" s="132">
        <f>+'ENERO '!E186+FEBRERO!E186+MARZO!E186+ABRIL!E186+MAYO!E186+JUNIO!E186+JULIO!E186+AGOSTO!E186+SEPTIEMBRE!E186+OCTUBRE!E186+NOVIEMBRE!E186+DICIEMBRE!E186</f>
        <v>0</v>
      </c>
      <c r="F186" s="21"/>
      <c r="G186" s="511">
        <f t="shared" si="13"/>
        <v>0</v>
      </c>
      <c r="H186" s="511">
        <f t="shared" si="14"/>
        <v>0</v>
      </c>
      <c r="I186" s="511">
        <f t="shared" si="15"/>
        <v>0</v>
      </c>
      <c r="J186" s="515">
        <f t="shared" si="16"/>
        <v>0</v>
      </c>
      <c r="S186" s="511">
        <v>0</v>
      </c>
    </row>
    <row r="187" spans="1:19" ht="12.75" customHeight="1" x14ac:dyDescent="0.25">
      <c r="A187" s="202" t="s">
        <v>272</v>
      </c>
      <c r="B187" s="12" t="s">
        <v>273</v>
      </c>
      <c r="C187" s="132">
        <f>+'ENERO '!C187+FEBRERO!C187+MARZO!C187+ABRIL!C187+MAYO!C187+JUNIO!C187+JULIO!C187+AGOSTO!C187+SEPTIEMBRE!C187+OCTUBRE!C187+NOVIEMBRE!C187+DICIEMBRE!C187</f>
        <v>0</v>
      </c>
      <c r="D187" s="26">
        <f>+[1]BS17A!$U1209</f>
        <v>230250</v>
      </c>
      <c r="E187" s="132">
        <f>+'ENERO '!E187+FEBRERO!E187+MARZO!E187+ABRIL!E187+MAYO!E187+JUNIO!E187+JULIO!E187+AGOSTO!E187+SEPTIEMBRE!E187+OCTUBRE!E187+NOVIEMBRE!E187+DICIEMBRE!E187</f>
        <v>0</v>
      </c>
      <c r="F187" s="21"/>
      <c r="G187" s="511">
        <f t="shared" si="13"/>
        <v>0</v>
      </c>
      <c r="H187" s="511">
        <f t="shared" si="14"/>
        <v>0</v>
      </c>
      <c r="I187" s="511">
        <f t="shared" si="15"/>
        <v>0</v>
      </c>
      <c r="J187" s="515">
        <f t="shared" si="16"/>
        <v>0</v>
      </c>
      <c r="S187" s="511">
        <v>0</v>
      </c>
    </row>
    <row r="188" spans="1:19" ht="12.75" customHeight="1" x14ac:dyDescent="0.25">
      <c r="A188" s="202" t="s">
        <v>274</v>
      </c>
      <c r="B188" s="12" t="s">
        <v>275</v>
      </c>
      <c r="C188" s="132">
        <f>+'ENERO '!C188+FEBRERO!C188+MARZO!C188+ABRIL!C188+MAYO!C188+JUNIO!C188+JULIO!C188+AGOSTO!C188+SEPTIEMBRE!C188+OCTUBRE!C188+NOVIEMBRE!C188+DICIEMBRE!C188</f>
        <v>0</v>
      </c>
      <c r="D188" s="26">
        <f>+[1]BS17A!$U1210</f>
        <v>275320</v>
      </c>
      <c r="E188" s="132">
        <f>+'ENERO '!E188+FEBRERO!E188+MARZO!E188+ABRIL!E188+MAYO!E188+JUNIO!E188+JULIO!E188+AGOSTO!E188+SEPTIEMBRE!E188+OCTUBRE!E188+NOVIEMBRE!E188+DICIEMBRE!E188</f>
        <v>0</v>
      </c>
      <c r="F188" s="21"/>
      <c r="G188" s="511">
        <f t="shared" si="13"/>
        <v>0</v>
      </c>
      <c r="H188" s="511">
        <f t="shared" si="14"/>
        <v>0</v>
      </c>
      <c r="I188" s="511">
        <f t="shared" si="15"/>
        <v>0</v>
      </c>
      <c r="J188" s="515">
        <f t="shared" si="16"/>
        <v>0</v>
      </c>
      <c r="S188" s="511">
        <v>0</v>
      </c>
    </row>
    <row r="189" spans="1:19" ht="24.75" customHeight="1" x14ac:dyDescent="0.25">
      <c r="A189" s="202" t="s">
        <v>276</v>
      </c>
      <c r="B189" s="11" t="s">
        <v>277</v>
      </c>
      <c r="C189" s="132">
        <f>+'ENERO '!C189+FEBRERO!C189+MARZO!C189+ABRIL!C189+MAYO!C189+JUNIO!C189+JULIO!C189+AGOSTO!C189+SEPTIEMBRE!C189+OCTUBRE!C189+NOVIEMBRE!C189+DICIEMBRE!C189</f>
        <v>0</v>
      </c>
      <c r="D189" s="26">
        <f>+[1]BS17A!$U1211</f>
        <v>244150</v>
      </c>
      <c r="E189" s="132">
        <f>+'ENERO '!E189+FEBRERO!E189+MARZO!E189+ABRIL!E189+MAYO!E189+JUNIO!E189+JULIO!E189+AGOSTO!E189+SEPTIEMBRE!E189+OCTUBRE!E189+NOVIEMBRE!E189+DICIEMBRE!E189</f>
        <v>0</v>
      </c>
      <c r="F189" s="21"/>
      <c r="G189" s="511">
        <f t="shared" si="13"/>
        <v>0</v>
      </c>
      <c r="H189" s="511">
        <f t="shared" si="14"/>
        <v>0</v>
      </c>
      <c r="I189" s="511">
        <f t="shared" si="15"/>
        <v>0</v>
      </c>
      <c r="J189" s="515">
        <f t="shared" si="16"/>
        <v>0</v>
      </c>
      <c r="S189" s="511">
        <v>0</v>
      </c>
    </row>
    <row r="190" spans="1:19" ht="24.75" customHeight="1" x14ac:dyDescent="0.25">
      <c r="A190" s="202" t="s">
        <v>278</v>
      </c>
      <c r="B190" s="12" t="s">
        <v>279</v>
      </c>
      <c r="C190" s="132">
        <f>+'ENERO '!C190+FEBRERO!C190+MARZO!C190+ABRIL!C190+MAYO!C190+JUNIO!C190+JULIO!C190+AGOSTO!C190+SEPTIEMBRE!C190+OCTUBRE!C190+NOVIEMBRE!C190+DICIEMBRE!C190</f>
        <v>0</v>
      </c>
      <c r="D190" s="26">
        <f>+[1]BS17A!$U1212</f>
        <v>1786710</v>
      </c>
      <c r="E190" s="132">
        <f>+'ENERO '!E190+FEBRERO!E190+MARZO!E190+ABRIL!E190+MAYO!E190+JUNIO!E190+JULIO!E190+AGOSTO!E190+SEPTIEMBRE!E190+OCTUBRE!E190+NOVIEMBRE!E190+DICIEMBRE!E190</f>
        <v>0</v>
      </c>
      <c r="F190" s="21"/>
      <c r="G190" s="511">
        <f t="shared" si="13"/>
        <v>0</v>
      </c>
      <c r="H190" s="511">
        <f t="shared" si="14"/>
        <v>0</v>
      </c>
      <c r="I190" s="511">
        <f t="shared" si="15"/>
        <v>0</v>
      </c>
      <c r="J190" s="515">
        <f t="shared" si="16"/>
        <v>0</v>
      </c>
      <c r="S190" s="511">
        <v>0</v>
      </c>
    </row>
    <row r="191" spans="1:19" ht="12.75" customHeight="1" x14ac:dyDescent="0.25">
      <c r="A191" s="202" t="s">
        <v>280</v>
      </c>
      <c r="B191" s="12" t="s">
        <v>281</v>
      </c>
      <c r="C191" s="132">
        <f>+'ENERO '!C191+FEBRERO!C191+MARZO!C191+ABRIL!C191+MAYO!C191+JUNIO!C191+JULIO!C191+AGOSTO!C191+SEPTIEMBRE!C191+OCTUBRE!C191+NOVIEMBRE!C191+DICIEMBRE!C191</f>
        <v>0</v>
      </c>
      <c r="D191" s="26">
        <f>+[1]BS17A!$U1213</f>
        <v>1115980</v>
      </c>
      <c r="E191" s="132">
        <f>+'ENERO '!E191+FEBRERO!E191+MARZO!E191+ABRIL!E191+MAYO!E191+JUNIO!E191+JULIO!E191+AGOSTO!E191+SEPTIEMBRE!E191+OCTUBRE!E191+NOVIEMBRE!E191+DICIEMBRE!E191</f>
        <v>0</v>
      </c>
      <c r="F191" s="21"/>
      <c r="G191" s="511">
        <f t="shared" si="13"/>
        <v>0</v>
      </c>
      <c r="H191" s="511">
        <f t="shared" si="14"/>
        <v>0</v>
      </c>
      <c r="I191" s="511">
        <f t="shared" si="15"/>
        <v>0</v>
      </c>
      <c r="J191" s="515">
        <f t="shared" si="16"/>
        <v>0</v>
      </c>
      <c r="S191" s="511">
        <v>0</v>
      </c>
    </row>
    <row r="192" spans="1:19" ht="12.75" customHeight="1" x14ac:dyDescent="0.25">
      <c r="A192" s="180" t="s">
        <v>282</v>
      </c>
      <c r="B192" s="12" t="s">
        <v>283</v>
      </c>
      <c r="C192" s="132">
        <f>+'ENERO '!C192+FEBRERO!C192+MARZO!C192+ABRIL!C192+MAYO!C192+JUNIO!C192+JULIO!C192+AGOSTO!C192+SEPTIEMBRE!C192+OCTUBRE!C192+NOVIEMBRE!C192+DICIEMBRE!C192</f>
        <v>0</v>
      </c>
      <c r="D192" s="26">
        <f>+[1]BS17A!$U1214</f>
        <v>1080140</v>
      </c>
      <c r="E192" s="132">
        <f>+'ENERO '!E192+FEBRERO!E192+MARZO!E192+ABRIL!E192+MAYO!E192+JUNIO!E192+JULIO!E192+AGOSTO!E192+SEPTIEMBRE!E192+OCTUBRE!E192+NOVIEMBRE!E192+DICIEMBRE!E192</f>
        <v>0</v>
      </c>
      <c r="F192" s="21"/>
      <c r="G192" s="511">
        <f t="shared" si="13"/>
        <v>0</v>
      </c>
      <c r="H192" s="511">
        <f t="shared" si="14"/>
        <v>0</v>
      </c>
      <c r="I192" s="511">
        <f t="shared" si="15"/>
        <v>0</v>
      </c>
      <c r="J192" s="515">
        <f t="shared" si="16"/>
        <v>0</v>
      </c>
      <c r="S192" s="511">
        <v>0</v>
      </c>
    </row>
    <row r="193" spans="1:19" ht="24.75" customHeight="1" x14ac:dyDescent="0.25">
      <c r="A193" s="202" t="s">
        <v>284</v>
      </c>
      <c r="B193" s="12" t="s">
        <v>285</v>
      </c>
      <c r="C193" s="132">
        <f>+'ENERO '!C193+FEBRERO!C193+MARZO!C193+ABRIL!C193+MAYO!C193+JUNIO!C193+JULIO!C193+AGOSTO!C193+SEPTIEMBRE!C193+OCTUBRE!C193+NOVIEMBRE!C193+DICIEMBRE!C193</f>
        <v>0</v>
      </c>
      <c r="D193" s="26">
        <f>+[1]BS17A!$U1215</f>
        <v>1131580</v>
      </c>
      <c r="E193" s="132">
        <f>+'ENERO '!E193+FEBRERO!E193+MARZO!E193+ABRIL!E193+MAYO!E193+JUNIO!E193+JULIO!E193+AGOSTO!E193+SEPTIEMBRE!E193+OCTUBRE!E193+NOVIEMBRE!E193+DICIEMBRE!E193</f>
        <v>0</v>
      </c>
      <c r="F193" s="21"/>
      <c r="G193" s="511">
        <f t="shared" si="13"/>
        <v>0</v>
      </c>
      <c r="H193" s="511">
        <f t="shared" si="14"/>
        <v>0</v>
      </c>
      <c r="I193" s="511">
        <f t="shared" si="15"/>
        <v>0</v>
      </c>
      <c r="J193" s="515">
        <f t="shared" si="16"/>
        <v>0</v>
      </c>
      <c r="S193" s="511">
        <v>0</v>
      </c>
    </row>
    <row r="194" spans="1:19" ht="12.75" customHeight="1" x14ac:dyDescent="0.25">
      <c r="A194" s="180" t="s">
        <v>286</v>
      </c>
      <c r="B194" s="12" t="s">
        <v>287</v>
      </c>
      <c r="C194" s="132">
        <f>+'ENERO '!C194+FEBRERO!C194+MARZO!C194+ABRIL!C194+MAYO!C194+JUNIO!C194+JULIO!C194+AGOSTO!C194+SEPTIEMBRE!C194+OCTUBRE!C194+NOVIEMBRE!C194+DICIEMBRE!C194</f>
        <v>0</v>
      </c>
      <c r="D194" s="26">
        <f>+[1]BS17A!$U1216</f>
        <v>160130</v>
      </c>
      <c r="E194" s="132">
        <f>+'ENERO '!E194+FEBRERO!E194+MARZO!E194+ABRIL!E194+MAYO!E194+JUNIO!E194+JULIO!E194+AGOSTO!E194+SEPTIEMBRE!E194+OCTUBRE!E194+NOVIEMBRE!E194+DICIEMBRE!E194</f>
        <v>0</v>
      </c>
      <c r="F194" s="21"/>
      <c r="G194" s="511">
        <f t="shared" si="13"/>
        <v>0</v>
      </c>
      <c r="H194" s="511">
        <f t="shared" si="14"/>
        <v>0</v>
      </c>
      <c r="I194" s="511">
        <f t="shared" si="15"/>
        <v>0</v>
      </c>
      <c r="J194" s="515">
        <f t="shared" si="16"/>
        <v>0</v>
      </c>
      <c r="S194" s="511">
        <v>0</v>
      </c>
    </row>
    <row r="195" spans="1:19" ht="12.75" customHeight="1" x14ac:dyDescent="0.25">
      <c r="A195" s="180" t="s">
        <v>288</v>
      </c>
      <c r="B195" s="12" t="s">
        <v>289</v>
      </c>
      <c r="C195" s="132">
        <f>+'ENERO '!C195+FEBRERO!C195+MARZO!C195+ABRIL!C195+MAYO!C195+JUNIO!C195+JULIO!C195+AGOSTO!C195+SEPTIEMBRE!C195+OCTUBRE!C195+NOVIEMBRE!C195+DICIEMBRE!C195</f>
        <v>0</v>
      </c>
      <c r="D195" s="26">
        <f>+[1]BS17A!$U1217</f>
        <v>365410</v>
      </c>
      <c r="E195" s="132">
        <f>+'ENERO '!E195+FEBRERO!E195+MARZO!E195+ABRIL!E195+MAYO!E195+JUNIO!E195+JULIO!E195+AGOSTO!E195+SEPTIEMBRE!E195+OCTUBRE!E195+NOVIEMBRE!E195+DICIEMBRE!E195</f>
        <v>0</v>
      </c>
      <c r="F195" s="21"/>
      <c r="G195" s="511">
        <f t="shared" si="13"/>
        <v>0</v>
      </c>
      <c r="H195" s="511">
        <f t="shared" si="14"/>
        <v>0</v>
      </c>
      <c r="I195" s="511">
        <f t="shared" si="15"/>
        <v>0</v>
      </c>
      <c r="J195" s="515">
        <f t="shared" si="16"/>
        <v>0</v>
      </c>
      <c r="S195" s="511">
        <v>0</v>
      </c>
    </row>
    <row r="196" spans="1:19" ht="12.75" customHeight="1" x14ac:dyDescent="0.25">
      <c r="A196" s="202" t="s">
        <v>290</v>
      </c>
      <c r="B196" s="12" t="s">
        <v>291</v>
      </c>
      <c r="C196" s="132">
        <f>+'ENERO '!C196+FEBRERO!C196+MARZO!C196+ABRIL!C196+MAYO!C196+JUNIO!C196+JULIO!C196+AGOSTO!C196+SEPTIEMBRE!C196+OCTUBRE!C196+NOVIEMBRE!C196+DICIEMBRE!C196</f>
        <v>0</v>
      </c>
      <c r="D196" s="26">
        <f>+[1]BS17A!$U1218</f>
        <v>135470</v>
      </c>
      <c r="E196" s="132">
        <f>+'ENERO '!E196+FEBRERO!E196+MARZO!E196+ABRIL!E196+MAYO!E196+JUNIO!E196+JULIO!E196+AGOSTO!E196+SEPTIEMBRE!E196+OCTUBRE!E196+NOVIEMBRE!E196+DICIEMBRE!E196</f>
        <v>0</v>
      </c>
      <c r="F196" s="21"/>
      <c r="G196" s="511">
        <f t="shared" si="13"/>
        <v>0</v>
      </c>
      <c r="H196" s="511">
        <f t="shared" si="14"/>
        <v>0</v>
      </c>
      <c r="I196" s="511">
        <f t="shared" si="15"/>
        <v>0</v>
      </c>
      <c r="J196" s="515">
        <f t="shared" si="16"/>
        <v>0</v>
      </c>
      <c r="S196" s="511">
        <v>0</v>
      </c>
    </row>
    <row r="197" spans="1:19" ht="12.75" customHeight="1" x14ac:dyDescent="0.25">
      <c r="A197" s="202" t="s">
        <v>292</v>
      </c>
      <c r="B197" s="12" t="s">
        <v>293</v>
      </c>
      <c r="C197" s="132">
        <f>+'ENERO '!C197+FEBRERO!C197+MARZO!C197+ABRIL!C197+MAYO!C197+JUNIO!C197+JULIO!C197+AGOSTO!C197+SEPTIEMBRE!C197+OCTUBRE!C197+NOVIEMBRE!C197+DICIEMBRE!C197</f>
        <v>0</v>
      </c>
      <c r="D197" s="26">
        <f>+[1]BS17A!$U1219</f>
        <v>1097590</v>
      </c>
      <c r="E197" s="132">
        <f>+'ENERO '!E197+FEBRERO!E197+MARZO!E197+ABRIL!E197+MAYO!E197+JUNIO!E197+JULIO!E197+AGOSTO!E197+SEPTIEMBRE!E197+OCTUBRE!E197+NOVIEMBRE!E197+DICIEMBRE!E197</f>
        <v>0</v>
      </c>
      <c r="F197" s="21"/>
      <c r="G197" s="511">
        <f t="shared" si="13"/>
        <v>0</v>
      </c>
      <c r="H197" s="511">
        <f t="shared" si="14"/>
        <v>0</v>
      </c>
      <c r="I197" s="511">
        <f t="shared" si="15"/>
        <v>0</v>
      </c>
      <c r="J197" s="515">
        <f t="shared" si="16"/>
        <v>0</v>
      </c>
      <c r="S197" s="511">
        <v>0</v>
      </c>
    </row>
    <row r="198" spans="1:19" ht="12.75" customHeight="1" x14ac:dyDescent="0.25">
      <c r="A198" s="202" t="s">
        <v>294</v>
      </c>
      <c r="B198" s="12" t="s">
        <v>295</v>
      </c>
      <c r="C198" s="132">
        <f>+'ENERO '!C198+FEBRERO!C198+MARZO!C198+ABRIL!C198+MAYO!C198+JUNIO!C198+JULIO!C198+AGOSTO!C198+SEPTIEMBRE!C198+OCTUBRE!C198+NOVIEMBRE!C198+DICIEMBRE!C198</f>
        <v>0</v>
      </c>
      <c r="D198" s="26">
        <f>+[1]BS17A!$U1220</f>
        <v>1097590</v>
      </c>
      <c r="E198" s="132">
        <f>+'ENERO '!E198+FEBRERO!E198+MARZO!E198+ABRIL!E198+MAYO!E198+JUNIO!E198+JULIO!E198+AGOSTO!E198+SEPTIEMBRE!E198+OCTUBRE!E198+NOVIEMBRE!E198+DICIEMBRE!E198</f>
        <v>0</v>
      </c>
      <c r="F198" s="21"/>
      <c r="G198" s="511">
        <f t="shared" si="13"/>
        <v>0</v>
      </c>
      <c r="H198" s="511">
        <f t="shared" si="14"/>
        <v>0</v>
      </c>
      <c r="I198" s="511">
        <f t="shared" si="15"/>
        <v>0</v>
      </c>
      <c r="J198" s="515">
        <f t="shared" si="16"/>
        <v>0</v>
      </c>
      <c r="S198" s="511">
        <v>0</v>
      </c>
    </row>
    <row r="199" spans="1:19" ht="12.75" customHeight="1" x14ac:dyDescent="0.25">
      <c r="A199" s="202">
        <v>1801001</v>
      </c>
      <c r="B199" s="10" t="s">
        <v>296</v>
      </c>
      <c r="C199" s="132">
        <f>+'ENERO '!C199+FEBRERO!C199+MARZO!C199+ABRIL!C199+MAYO!C199+JUNIO!C199+JULIO!C199+AGOSTO!C199+SEPTIEMBRE!C199+OCTUBRE!C199+NOVIEMBRE!C199+DICIEMBRE!C199</f>
        <v>719</v>
      </c>
      <c r="D199" s="26">
        <f>+[1]BS17A!$U1354</f>
        <v>32740</v>
      </c>
      <c r="E199" s="132">
        <f>+'ENERO '!E199+FEBRERO!E199+MARZO!E199+ABRIL!E199+MAYO!E199+JUNIO!E199+JULIO!E199+AGOSTO!E199+SEPTIEMBRE!E199+OCTUBRE!E199+NOVIEMBRE!E199+DICIEMBRE!E199</f>
        <v>24100620</v>
      </c>
      <c r="F199" s="21"/>
      <c r="G199" s="511">
        <f t="shared" si="13"/>
        <v>3442945.7142857141</v>
      </c>
      <c r="H199" s="511">
        <f t="shared" si="14"/>
        <v>41315348.571428567</v>
      </c>
      <c r="I199" s="511">
        <f t="shared" si="15"/>
        <v>4131534.8571428568</v>
      </c>
      <c r="J199" s="515">
        <f t="shared" si="16"/>
        <v>45446883.428571425</v>
      </c>
      <c r="S199" s="511">
        <v>16277580</v>
      </c>
    </row>
    <row r="200" spans="1:19" ht="12.75" customHeight="1" x14ac:dyDescent="0.25">
      <c r="A200" s="202">
        <v>1801003</v>
      </c>
      <c r="B200" s="12" t="s">
        <v>297</v>
      </c>
      <c r="C200" s="132">
        <f>+'ENERO '!C200+FEBRERO!C200+MARZO!C200+ABRIL!C200+MAYO!C200+JUNIO!C200+JULIO!C200+AGOSTO!C200+SEPTIEMBRE!C200+OCTUBRE!C200+NOVIEMBRE!C200+DICIEMBRE!C200</f>
        <v>0</v>
      </c>
      <c r="D200" s="26">
        <f>+[1]BS17A!$U1355</f>
        <v>39490</v>
      </c>
      <c r="E200" s="132">
        <f>+'ENERO '!E200+FEBRERO!E200+MARZO!E200+ABRIL!E200+MAYO!E200+JUNIO!E200+JULIO!E200+AGOSTO!E200+SEPTIEMBRE!E200+OCTUBRE!E200+NOVIEMBRE!E200+DICIEMBRE!E200</f>
        <v>0</v>
      </c>
      <c r="F200" s="21"/>
      <c r="G200" s="511">
        <f t="shared" si="13"/>
        <v>0</v>
      </c>
      <c r="H200" s="511">
        <f t="shared" si="14"/>
        <v>0</v>
      </c>
      <c r="I200" s="511">
        <f t="shared" si="15"/>
        <v>0</v>
      </c>
      <c r="J200" s="515">
        <f t="shared" si="16"/>
        <v>0</v>
      </c>
      <c r="S200" s="511">
        <v>0</v>
      </c>
    </row>
    <row r="201" spans="1:19" ht="12.75" customHeight="1" x14ac:dyDescent="0.25">
      <c r="A201" s="202">
        <v>1801006</v>
      </c>
      <c r="B201" s="10" t="s">
        <v>298</v>
      </c>
      <c r="C201" s="132">
        <f>+'ENERO '!C201+FEBRERO!C201+MARZO!C201+ABRIL!C201+MAYO!C201+JUNIO!C201+JULIO!C201+AGOSTO!C201+SEPTIEMBRE!C201+OCTUBRE!C201+NOVIEMBRE!C201+DICIEMBRE!C201</f>
        <v>93</v>
      </c>
      <c r="D201" s="26">
        <f>+[1]BS17A!$U1356</f>
        <v>42060</v>
      </c>
      <c r="E201" s="132">
        <f>+'ENERO '!E201+FEBRERO!E201+MARZO!E201+ABRIL!E201+MAYO!E201+JUNIO!E201+JULIO!E201+AGOSTO!E201+SEPTIEMBRE!E201+OCTUBRE!E201+NOVIEMBRE!E201+DICIEMBRE!E201</f>
        <v>4009860</v>
      </c>
      <c r="F201" s="21"/>
      <c r="G201" s="511">
        <f t="shared" si="13"/>
        <v>572837.14285714284</v>
      </c>
      <c r="H201" s="511">
        <f t="shared" si="14"/>
        <v>6874045.7142857146</v>
      </c>
      <c r="I201" s="511">
        <f t="shared" si="15"/>
        <v>687404.57142857148</v>
      </c>
      <c r="J201" s="515">
        <f t="shared" si="16"/>
        <v>7561450.2857142864</v>
      </c>
      <c r="S201" s="511">
        <v>2666940</v>
      </c>
    </row>
    <row r="202" spans="1:19" ht="24.75" customHeight="1" x14ac:dyDescent="0.25">
      <c r="A202" s="202" t="s">
        <v>299</v>
      </c>
      <c r="B202" s="10" t="s">
        <v>300</v>
      </c>
      <c r="C202" s="132">
        <f>+'ENERO '!C202+FEBRERO!C202+MARZO!C202+ABRIL!C202+MAYO!C202+JUNIO!C202+JULIO!C202+AGOSTO!C202+SEPTIEMBRE!C202+OCTUBRE!C202+NOVIEMBRE!C202+DICIEMBRE!C202</f>
        <v>10</v>
      </c>
      <c r="D202" s="26">
        <f>[1]BS17A!U1036</f>
        <v>8850</v>
      </c>
      <c r="E202" s="132">
        <f>+'ENERO '!E202+FEBRERO!E202+MARZO!E202+ABRIL!E202+MAYO!E202+JUNIO!E202+JULIO!E202+AGOSTO!E202+SEPTIEMBRE!E202+OCTUBRE!E202+NOVIEMBRE!E202+DICIEMBRE!E202</f>
        <v>90390</v>
      </c>
      <c r="F202" s="21"/>
      <c r="G202" s="511">
        <f t="shared" si="13"/>
        <v>12912.857142857143</v>
      </c>
      <c r="H202" s="511">
        <f t="shared" si="14"/>
        <v>154954.28571428571</v>
      </c>
      <c r="I202" s="511">
        <f t="shared" si="15"/>
        <v>15495.428571428572</v>
      </c>
      <c r="J202" s="515">
        <f t="shared" si="16"/>
        <v>170449.71428571429</v>
      </c>
      <c r="S202" s="511">
        <v>72150</v>
      </c>
    </row>
    <row r="203" spans="1:19" ht="24.75" customHeight="1" x14ac:dyDescent="0.25">
      <c r="A203" s="204" t="s">
        <v>301</v>
      </c>
      <c r="B203" s="13" t="s">
        <v>302</v>
      </c>
      <c r="C203" s="132">
        <f>+'ENERO '!C203+FEBRERO!C203+MARZO!C203+ABRIL!C203+MAYO!C203+JUNIO!C203+JULIO!C203+AGOSTO!C203+SEPTIEMBRE!C203+OCTUBRE!C203+NOVIEMBRE!C203+DICIEMBRE!C203</f>
        <v>0</v>
      </c>
      <c r="D203" s="107">
        <f>[1]BS17A!U807</f>
        <v>375680</v>
      </c>
      <c r="E203" s="132">
        <f>+'ENERO '!E203+FEBRERO!E203+MARZO!E203+ABRIL!E203+MAYO!E203+JUNIO!E203+JULIO!E203+AGOSTO!E203+SEPTIEMBRE!E203+OCTUBRE!E203+NOVIEMBRE!E203+DICIEMBRE!E203</f>
        <v>0</v>
      </c>
      <c r="F203" s="21"/>
      <c r="G203" s="511">
        <f t="shared" si="13"/>
        <v>0</v>
      </c>
      <c r="H203" s="511">
        <f t="shared" si="14"/>
        <v>0</v>
      </c>
      <c r="I203" s="511">
        <f t="shared" si="15"/>
        <v>0</v>
      </c>
      <c r="J203" s="515">
        <f t="shared" si="16"/>
        <v>0</v>
      </c>
      <c r="S203" s="511">
        <v>0</v>
      </c>
    </row>
    <row r="204" spans="1:19" ht="17.25" customHeight="1" x14ac:dyDescent="0.25">
      <c r="A204" s="187"/>
      <c r="B204" s="186" t="s">
        <v>303</v>
      </c>
      <c r="C204" s="132">
        <f>+'ENERO '!C204+FEBRERO!C204+MARZO!C204+ABRIL!C204+MAYO!C204+JUNIO!C204+JULIO!C204+AGOSTO!C204+SEPTIEMBRE!C204+OCTUBRE!C204+NOVIEMBRE!C204+DICIEMBRE!C204</f>
        <v>10080</v>
      </c>
      <c r="D204" s="100"/>
      <c r="E204" s="101">
        <f>SUM(E173:E203)</f>
        <v>145725060</v>
      </c>
      <c r="F204" s="21"/>
      <c r="G204" s="511">
        <f t="shared" si="13"/>
        <v>20817865.714285713</v>
      </c>
      <c r="H204" s="511">
        <f t="shared" si="14"/>
        <v>249814388.57142854</v>
      </c>
      <c r="I204" s="511">
        <f t="shared" si="15"/>
        <v>24981438.857142854</v>
      </c>
      <c r="J204" s="515">
        <f t="shared" si="16"/>
        <v>274795827.4285714</v>
      </c>
      <c r="S204" s="511">
        <v>98408740</v>
      </c>
    </row>
    <row r="205" spans="1:19" ht="21.75" customHeight="1" x14ac:dyDescent="0.25">
      <c r="A205" s="21"/>
      <c r="B205" s="21"/>
      <c r="C205" s="21"/>
      <c r="D205" s="21"/>
      <c r="E205" s="21"/>
      <c r="F205" s="21"/>
      <c r="G205" s="511">
        <f t="shared" si="13"/>
        <v>0</v>
      </c>
      <c r="H205" s="511">
        <f t="shared" si="14"/>
        <v>0</v>
      </c>
      <c r="I205" s="511">
        <f t="shared" si="15"/>
        <v>0</v>
      </c>
      <c r="J205" s="515">
        <f t="shared" si="16"/>
        <v>0</v>
      </c>
    </row>
    <row r="206" spans="1:19" ht="19.5" customHeight="1" x14ac:dyDescent="0.25">
      <c r="A206" s="21"/>
      <c r="B206" s="21"/>
      <c r="C206" s="21"/>
      <c r="D206" s="21"/>
      <c r="E206" s="21"/>
      <c r="F206" s="21"/>
      <c r="G206" s="511">
        <f t="shared" si="13"/>
        <v>0</v>
      </c>
      <c r="H206" s="511">
        <f t="shared" si="14"/>
        <v>0</v>
      </c>
      <c r="I206" s="511">
        <f t="shared" si="15"/>
        <v>0</v>
      </c>
      <c r="J206" s="515">
        <f t="shared" si="16"/>
        <v>0</v>
      </c>
    </row>
    <row r="207" spans="1:19" ht="18" customHeight="1" x14ac:dyDescent="0.25">
      <c r="A207" s="549" t="s">
        <v>304</v>
      </c>
      <c r="B207" s="550"/>
      <c r="C207" s="550"/>
      <c r="D207" s="550"/>
      <c r="E207" s="551"/>
      <c r="F207" s="18"/>
      <c r="G207" s="511">
        <f t="shared" si="13"/>
        <v>0</v>
      </c>
      <c r="H207" s="511">
        <f t="shared" si="14"/>
        <v>0</v>
      </c>
      <c r="I207" s="511">
        <f t="shared" si="15"/>
        <v>0</v>
      </c>
      <c r="J207" s="515">
        <f t="shared" si="16"/>
        <v>0</v>
      </c>
    </row>
    <row r="208" spans="1:19" ht="39.75" customHeight="1" x14ac:dyDescent="0.25">
      <c r="A208" s="1" t="s">
        <v>8</v>
      </c>
      <c r="B208" s="1" t="s">
        <v>9</v>
      </c>
      <c r="C208" s="227" t="s">
        <v>10</v>
      </c>
      <c r="D208" s="3" t="s">
        <v>11</v>
      </c>
      <c r="E208" s="229" t="s">
        <v>12</v>
      </c>
      <c r="F208" s="18"/>
    </row>
    <row r="209" spans="1:19" ht="12.75" customHeight="1" x14ac:dyDescent="0.25">
      <c r="A209" s="179" t="s">
        <v>305</v>
      </c>
      <c r="B209" s="196" t="s">
        <v>306</v>
      </c>
      <c r="C209" s="132">
        <f>+'ENERO '!C209+FEBRERO!C209+MARZO!C209+ABRIL!C209+MAYO!C209+JUNIO!C209+JULIO!C209+AGOSTO!C209+SEPTIEMBRE!C209+OCTUBRE!C209+NOVIEMBRE!C209+DICIEMBRE!C209</f>
        <v>0</v>
      </c>
      <c r="D209" s="31">
        <f>+[1]BS17A!$U18</f>
        <v>13700</v>
      </c>
      <c r="E209" s="132">
        <f>+'ENERO '!E209+FEBRERO!E209+MARZO!E209+ABRIL!E209+MAYO!E209+JUNIO!E209+JULIO!E209+AGOSTO!E209+SEPTIEMBRE!E209+OCTUBRE!E209+NOVIEMBRE!E209+DICIEMBRE!E209</f>
        <v>0</v>
      </c>
      <c r="F209" s="21"/>
      <c r="G209" s="511">
        <f t="shared" ref="G209:G272" si="17">+E209/7</f>
        <v>0</v>
      </c>
      <c r="H209" s="511">
        <f t="shared" ref="H209:H272" si="18">+G209*12</f>
        <v>0</v>
      </c>
      <c r="I209" s="511">
        <f t="shared" ref="I209:I272" si="19">+H209*10%</f>
        <v>0</v>
      </c>
      <c r="J209" s="515">
        <f t="shared" ref="J209:J272" si="20">+I209+H209</f>
        <v>0</v>
      </c>
      <c r="S209" s="511">
        <v>0</v>
      </c>
    </row>
    <row r="210" spans="1:19" ht="12.75" customHeight="1" x14ac:dyDescent="0.25">
      <c r="A210" s="180" t="s">
        <v>307</v>
      </c>
      <c r="B210" s="177" t="s">
        <v>308</v>
      </c>
      <c r="C210" s="132">
        <f>+'ENERO '!C210+FEBRERO!C210+MARZO!C210+ABRIL!C210+MAYO!C210+JUNIO!C210+JULIO!C210+AGOSTO!C210+SEPTIEMBRE!C210+OCTUBRE!C210+NOVIEMBRE!C210+DICIEMBRE!C210</f>
        <v>738</v>
      </c>
      <c r="D210" s="26">
        <f>+[1]BS17A!$U19</f>
        <v>13700</v>
      </c>
      <c r="E210" s="132">
        <f>+'ENERO '!E210+FEBRERO!E210+MARZO!E210+ABRIL!E210+MAYO!E210+JUNIO!E210+JULIO!E210+AGOSTO!E210+SEPTIEMBRE!E210+OCTUBRE!E210+NOVIEMBRE!E210+DICIEMBRE!E210</f>
        <v>10344300</v>
      </c>
      <c r="F210" s="21"/>
      <c r="G210" s="511">
        <f t="shared" si="17"/>
        <v>1477757.142857143</v>
      </c>
      <c r="H210" s="511">
        <f t="shared" si="18"/>
        <v>17733085.714285716</v>
      </c>
      <c r="I210" s="511">
        <f t="shared" si="19"/>
        <v>1773308.5714285718</v>
      </c>
      <c r="J210" s="515">
        <f t="shared" si="20"/>
        <v>19506394.285714287</v>
      </c>
      <c r="S210" s="511">
        <v>7056670</v>
      </c>
    </row>
    <row r="211" spans="1:19" ht="12.75" customHeight="1" x14ac:dyDescent="0.25">
      <c r="A211" s="180" t="s">
        <v>309</v>
      </c>
      <c r="B211" s="176" t="s">
        <v>310</v>
      </c>
      <c r="C211" s="132">
        <f>+'ENERO '!C211+FEBRERO!C211+MARZO!C211+ABRIL!C211+MAYO!C211+JUNIO!C211+JULIO!C211+AGOSTO!C211+SEPTIEMBRE!C211+OCTUBRE!C211+NOVIEMBRE!C211+DICIEMBRE!C211</f>
        <v>0</v>
      </c>
      <c r="D211" s="26">
        <f>+[1]BS17A!$U47</f>
        <v>1310</v>
      </c>
      <c r="E211" s="132">
        <f>+'ENERO '!E211+FEBRERO!E211+MARZO!E211+ABRIL!E211+MAYO!E211+JUNIO!E211+JULIO!E211+AGOSTO!E211+SEPTIEMBRE!E211+OCTUBRE!E211+NOVIEMBRE!E211+DICIEMBRE!E211</f>
        <v>0</v>
      </c>
      <c r="F211" s="21"/>
      <c r="G211" s="511">
        <f t="shared" si="17"/>
        <v>0</v>
      </c>
      <c r="H211" s="511">
        <f t="shared" si="18"/>
        <v>0</v>
      </c>
      <c r="I211" s="511">
        <f t="shared" si="19"/>
        <v>0</v>
      </c>
      <c r="J211" s="515">
        <f t="shared" si="20"/>
        <v>0</v>
      </c>
      <c r="S211" s="511">
        <v>0</v>
      </c>
    </row>
    <row r="212" spans="1:19" ht="12.75" customHeight="1" x14ac:dyDescent="0.25">
      <c r="A212" s="180" t="s">
        <v>311</v>
      </c>
      <c r="B212" s="176" t="s">
        <v>312</v>
      </c>
      <c r="C212" s="132">
        <f>+'ENERO '!C212+FEBRERO!C212+MARZO!C212+ABRIL!C212+MAYO!C212+JUNIO!C212+JULIO!C212+AGOSTO!C212+SEPTIEMBRE!C212+OCTUBRE!C212+NOVIEMBRE!C212+DICIEMBRE!C212</f>
        <v>5872</v>
      </c>
      <c r="D212" s="26">
        <f>+[1]BS17A!$U48</f>
        <v>640</v>
      </c>
      <c r="E212" s="132">
        <f>+'ENERO '!E212+FEBRERO!E212+MARZO!E212+ABRIL!E212+MAYO!E212+JUNIO!E212+JULIO!E212+AGOSTO!E212+SEPTIEMBRE!E212+OCTUBRE!E212+NOVIEMBRE!E212+DICIEMBRE!E212</f>
        <v>3843200</v>
      </c>
      <c r="F212" s="21"/>
      <c r="G212" s="511">
        <f t="shared" si="17"/>
        <v>549028.57142857148</v>
      </c>
      <c r="H212" s="511">
        <f t="shared" si="18"/>
        <v>6588342.8571428582</v>
      </c>
      <c r="I212" s="511">
        <f t="shared" si="19"/>
        <v>658834.28571428591</v>
      </c>
      <c r="J212" s="515">
        <f t="shared" si="20"/>
        <v>7247177.1428571437</v>
      </c>
      <c r="S212" s="511">
        <v>2821520</v>
      </c>
    </row>
    <row r="213" spans="1:19" ht="12.75" customHeight="1" x14ac:dyDescent="0.25">
      <c r="A213" s="180" t="s">
        <v>313</v>
      </c>
      <c r="B213" s="177" t="s">
        <v>314</v>
      </c>
      <c r="C213" s="132">
        <f>+'ENERO '!C213+FEBRERO!C213+MARZO!C213+ABRIL!C213+MAYO!C213+JUNIO!C213+JULIO!C213+AGOSTO!C213+SEPTIEMBRE!C213+OCTUBRE!C213+NOVIEMBRE!C213+DICIEMBRE!C213</f>
        <v>5038</v>
      </c>
      <c r="D213" s="26">
        <f>+[1]BS17A!$U49</f>
        <v>1940</v>
      </c>
      <c r="E213" s="132">
        <f>+'ENERO '!E213+FEBRERO!E213+MARZO!E213+ABRIL!E213+MAYO!E213+JUNIO!E213+JULIO!E213+AGOSTO!E213+SEPTIEMBRE!E213+OCTUBRE!E213+NOVIEMBRE!E213+DICIEMBRE!E213</f>
        <v>10013600</v>
      </c>
      <c r="F213" s="21"/>
      <c r="G213" s="511">
        <f t="shared" si="17"/>
        <v>1430514.2857142857</v>
      </c>
      <c r="H213" s="511">
        <f t="shared" si="18"/>
        <v>17166171.428571429</v>
      </c>
      <c r="I213" s="511">
        <f t="shared" si="19"/>
        <v>1716617.142857143</v>
      </c>
      <c r="J213" s="515">
        <f t="shared" si="20"/>
        <v>18882788.571428571</v>
      </c>
      <c r="S213" s="511">
        <v>7025600</v>
      </c>
    </row>
    <row r="214" spans="1:19" ht="12.75" customHeight="1" x14ac:dyDescent="0.25">
      <c r="A214" s="180" t="s">
        <v>315</v>
      </c>
      <c r="B214" s="177" t="s">
        <v>316</v>
      </c>
      <c r="C214" s="132">
        <f>+'ENERO '!C214+FEBRERO!C214+MARZO!C214+ABRIL!C214+MAYO!C214+JUNIO!C214+JULIO!C214+AGOSTO!C214+SEPTIEMBRE!C214+OCTUBRE!C214+NOVIEMBRE!C214+DICIEMBRE!C214</f>
        <v>652</v>
      </c>
      <c r="D214" s="26">
        <f>+[1]BS17A!$U50</f>
        <v>14590</v>
      </c>
      <c r="E214" s="132">
        <f>+'ENERO '!E214+FEBRERO!E214+MARZO!E214+ABRIL!E214+MAYO!E214+JUNIO!E214+JULIO!E214+AGOSTO!E214+SEPTIEMBRE!E214+OCTUBRE!E214+NOVIEMBRE!E214+DICIEMBRE!E214</f>
        <v>9729160</v>
      </c>
      <c r="F214" s="21"/>
      <c r="G214" s="511">
        <f t="shared" si="17"/>
        <v>1389880</v>
      </c>
      <c r="H214" s="511">
        <f t="shared" si="18"/>
        <v>16678560</v>
      </c>
      <c r="I214" s="511">
        <f t="shared" si="19"/>
        <v>1667856</v>
      </c>
      <c r="J214" s="515">
        <f t="shared" si="20"/>
        <v>18346416</v>
      </c>
      <c r="S214" s="511">
        <v>7174060</v>
      </c>
    </row>
    <row r="215" spans="1:19" ht="12.75" customHeight="1" x14ac:dyDescent="0.25">
      <c r="A215" s="180" t="s">
        <v>317</v>
      </c>
      <c r="B215" s="176" t="s">
        <v>318</v>
      </c>
      <c r="C215" s="132">
        <f>+'ENERO '!C215+FEBRERO!C215+MARZO!C215+ABRIL!C215+MAYO!C215+JUNIO!C215+JULIO!C215+AGOSTO!C215+SEPTIEMBRE!C215+OCTUBRE!C215+NOVIEMBRE!C215+DICIEMBRE!C215</f>
        <v>1168</v>
      </c>
      <c r="D215" s="26">
        <f>+[1]BS17A!$U51</f>
        <v>33500</v>
      </c>
      <c r="E215" s="132">
        <f>+'ENERO '!E215+FEBRERO!E215+MARZO!E215+ABRIL!E215+MAYO!E215+JUNIO!E215+JULIO!E215+AGOSTO!E215+SEPTIEMBRE!E215+OCTUBRE!E215+NOVIEMBRE!E215+DICIEMBRE!E215</f>
        <v>40029930</v>
      </c>
      <c r="F215" s="21"/>
      <c r="G215" s="511">
        <f t="shared" si="17"/>
        <v>5718561.4285714282</v>
      </c>
      <c r="H215" s="511">
        <f t="shared" si="18"/>
        <v>68622737.142857134</v>
      </c>
      <c r="I215" s="511">
        <f t="shared" si="19"/>
        <v>6862273.7142857136</v>
      </c>
      <c r="J215" s="515">
        <f t="shared" si="20"/>
        <v>75485010.857142851</v>
      </c>
      <c r="S215" s="511">
        <v>28262020</v>
      </c>
    </row>
    <row r="216" spans="1:19" ht="12.75" customHeight="1" x14ac:dyDescent="0.25">
      <c r="A216" s="202" t="s">
        <v>319</v>
      </c>
      <c r="B216" s="176" t="s">
        <v>320</v>
      </c>
      <c r="C216" s="132">
        <f>+'ENERO '!C216+FEBRERO!C216+MARZO!C216+ABRIL!C216+MAYO!C216+JUNIO!C216+JULIO!C216+AGOSTO!C216+SEPTIEMBRE!C216+OCTUBRE!C216+NOVIEMBRE!C216+DICIEMBRE!C216</f>
        <v>337</v>
      </c>
      <c r="D216" s="109"/>
      <c r="E216" s="132">
        <f>+'ENERO '!E216+FEBRERO!E216+MARZO!E216+ABRIL!E216+MAYO!E216+JUNIO!E216+JULIO!E216+AGOSTO!E216+SEPTIEMBRE!E216+OCTUBRE!E216+NOVIEMBRE!E216+DICIEMBRE!E216</f>
        <v>2885570</v>
      </c>
      <c r="F216" s="21"/>
      <c r="G216" s="511">
        <f t="shared" si="17"/>
        <v>412224.28571428574</v>
      </c>
      <c r="H216" s="511">
        <f t="shared" si="18"/>
        <v>4946691.4285714291</v>
      </c>
      <c r="I216" s="511">
        <f t="shared" si="19"/>
        <v>494669.14285714296</v>
      </c>
      <c r="J216" s="515">
        <f t="shared" si="20"/>
        <v>5441360.5714285718</v>
      </c>
      <c r="S216" s="511">
        <v>1921250</v>
      </c>
    </row>
    <row r="217" spans="1:19" ht="12.75" customHeight="1" x14ac:dyDescent="0.25">
      <c r="A217" s="181" t="s">
        <v>321</v>
      </c>
      <c r="B217" s="178" t="s">
        <v>322</v>
      </c>
      <c r="C217" s="132">
        <f>+'ENERO '!C217+FEBRERO!C217+MARZO!C217+ABRIL!C217+MAYO!C217+JUNIO!C217+JULIO!C217+AGOSTO!C217+SEPTIEMBRE!C217+OCTUBRE!C217+NOVIEMBRE!C217+DICIEMBRE!C217</f>
        <v>436</v>
      </c>
      <c r="D217" s="33">
        <f>+[1]BS17A!$U1861</f>
        <v>27160</v>
      </c>
      <c r="E217" s="132">
        <f>+'ENERO '!E217+FEBRERO!E217+MARZO!E217+ABRIL!E217+MAYO!E217+JUNIO!E217+JULIO!E217+AGOSTO!E217+SEPTIEMBRE!E217+OCTUBRE!E217+NOVIEMBRE!E217+DICIEMBRE!E217</f>
        <v>12129310</v>
      </c>
      <c r="F217" s="21"/>
      <c r="G217" s="511">
        <f t="shared" si="17"/>
        <v>1732758.5714285714</v>
      </c>
      <c r="H217" s="511">
        <f t="shared" si="18"/>
        <v>20793102.857142858</v>
      </c>
      <c r="I217" s="511">
        <f t="shared" si="19"/>
        <v>2079310.2857142859</v>
      </c>
      <c r="J217" s="515">
        <f t="shared" si="20"/>
        <v>22872413.142857146</v>
      </c>
      <c r="S217" s="511">
        <v>9500130</v>
      </c>
    </row>
    <row r="218" spans="1:19" x14ac:dyDescent="0.25">
      <c r="A218" s="187"/>
      <c r="B218" s="186" t="s">
        <v>323</v>
      </c>
      <c r="C218" s="132">
        <f>+'ENERO '!C218+FEBRERO!C218+MARZO!C218+ABRIL!C218+MAYO!C218+JUNIO!C218+JULIO!C218+AGOSTO!C218+SEPTIEMBRE!C218+OCTUBRE!C218+NOVIEMBRE!C218+DICIEMBRE!C218</f>
        <v>14241</v>
      </c>
      <c r="D218" s="100"/>
      <c r="E218" s="349">
        <f>SUM(E209:E217)</f>
        <v>88975070</v>
      </c>
      <c r="F218" s="21"/>
      <c r="G218" s="511">
        <f t="shared" si="17"/>
        <v>12710724.285714285</v>
      </c>
      <c r="H218" s="511">
        <f t="shared" si="18"/>
        <v>152528691.42857143</v>
      </c>
      <c r="I218" s="511">
        <f t="shared" si="19"/>
        <v>15252869.142857144</v>
      </c>
      <c r="J218" s="515">
        <f t="shared" si="20"/>
        <v>167781560.57142857</v>
      </c>
      <c r="S218" s="511">
        <v>63761250</v>
      </c>
    </row>
    <row r="219" spans="1:19" ht="17.25" customHeight="1" x14ac:dyDescent="0.25">
      <c r="A219" s="21"/>
      <c r="B219" s="21"/>
      <c r="C219" s="21"/>
      <c r="D219" s="21"/>
      <c r="E219" s="21"/>
      <c r="F219" s="21"/>
      <c r="G219" s="511">
        <f t="shared" si="17"/>
        <v>0</v>
      </c>
      <c r="H219" s="511">
        <f t="shared" si="18"/>
        <v>0</v>
      </c>
      <c r="I219" s="511">
        <f t="shared" si="19"/>
        <v>0</v>
      </c>
      <c r="J219" s="515">
        <f t="shared" si="20"/>
        <v>0</v>
      </c>
    </row>
    <row r="220" spans="1:19" ht="18" customHeight="1" x14ac:dyDescent="0.25">
      <c r="A220" s="21"/>
      <c r="B220" s="21"/>
      <c r="C220" s="21"/>
      <c r="D220" s="21"/>
      <c r="E220" s="21"/>
      <c r="F220" s="21"/>
      <c r="G220" s="511">
        <f t="shared" si="17"/>
        <v>0</v>
      </c>
      <c r="H220" s="511">
        <f t="shared" si="18"/>
        <v>0</v>
      </c>
      <c r="I220" s="511">
        <f t="shared" si="19"/>
        <v>0</v>
      </c>
      <c r="J220" s="515">
        <f t="shared" si="20"/>
        <v>0</v>
      </c>
    </row>
    <row r="221" spans="1:19" ht="27.75" customHeight="1" x14ac:dyDescent="0.25">
      <c r="A221" s="563" t="s">
        <v>324</v>
      </c>
      <c r="B221" s="564"/>
      <c r="C221" s="565"/>
      <c r="D221" s="21"/>
      <c r="E221" s="21"/>
      <c r="F221" s="18"/>
      <c r="G221" s="511">
        <f t="shared" si="17"/>
        <v>0</v>
      </c>
      <c r="H221" s="511">
        <f t="shared" si="18"/>
        <v>0</v>
      </c>
      <c r="I221" s="511">
        <f t="shared" si="19"/>
        <v>0</v>
      </c>
      <c r="J221" s="515">
        <f t="shared" si="20"/>
        <v>0</v>
      </c>
    </row>
    <row r="222" spans="1:19" ht="42.75" customHeight="1" x14ac:dyDescent="0.25">
      <c r="A222" s="1" t="s">
        <v>8</v>
      </c>
      <c r="B222" s="1" t="s">
        <v>10</v>
      </c>
      <c r="C222" s="1" t="s">
        <v>12</v>
      </c>
      <c r="D222" s="18"/>
      <c r="E222" s="21"/>
      <c r="F222" s="21"/>
      <c r="G222" s="511">
        <f t="shared" si="17"/>
        <v>0</v>
      </c>
      <c r="H222" s="511">
        <f t="shared" si="18"/>
        <v>0</v>
      </c>
      <c r="I222" s="511">
        <f t="shared" si="19"/>
        <v>0</v>
      </c>
      <c r="J222" s="515">
        <f t="shared" si="20"/>
        <v>0</v>
      </c>
    </row>
    <row r="223" spans="1:19" ht="15" customHeight="1" x14ac:dyDescent="0.25">
      <c r="A223" s="179" t="s">
        <v>325</v>
      </c>
      <c r="B223" s="197" t="s">
        <v>326</v>
      </c>
      <c r="C223" s="132">
        <f>+'ENERO '!C223+FEBRERO!C223+MARZO!C223+ABRIL!C223+MAYO!C223+JUNIO!C223+JULIO!C223+AGOSTO!C223+SEPTIEMBRE!C223+OCTUBRE!C223+NOVIEMBRE!C223+DICIEMBRE!C223</f>
        <v>0</v>
      </c>
      <c r="D223" s="111"/>
      <c r="E223" s="21"/>
      <c r="F223" s="21"/>
      <c r="G223" s="511">
        <f t="shared" si="17"/>
        <v>0</v>
      </c>
      <c r="H223" s="511">
        <f t="shared" si="18"/>
        <v>0</v>
      </c>
      <c r="I223" s="511">
        <f t="shared" si="19"/>
        <v>0</v>
      </c>
      <c r="J223" s="515">
        <f t="shared" si="20"/>
        <v>0</v>
      </c>
    </row>
    <row r="224" spans="1:19" ht="15" customHeight="1" x14ac:dyDescent="0.25">
      <c r="A224" s="200" t="s">
        <v>327</v>
      </c>
      <c r="B224" s="198" t="s">
        <v>328</v>
      </c>
      <c r="C224" s="132">
        <f>+'ENERO '!C224+FEBRERO!C224+MARZO!C224+ABRIL!C224+MAYO!C224+JUNIO!C224+JULIO!C224+AGOSTO!C224+SEPTIEMBRE!C224+OCTUBRE!C224+NOVIEMBRE!C224+DICIEMBRE!C224</f>
        <v>0</v>
      </c>
      <c r="D224" s="111"/>
      <c r="E224" s="21"/>
      <c r="F224" s="21"/>
      <c r="G224" s="511">
        <f t="shared" si="17"/>
        <v>0</v>
      </c>
      <c r="H224" s="511">
        <f t="shared" si="18"/>
        <v>0</v>
      </c>
      <c r="I224" s="511">
        <f t="shared" si="19"/>
        <v>0</v>
      </c>
      <c r="J224" s="515">
        <f t="shared" si="20"/>
        <v>0</v>
      </c>
    </row>
    <row r="225" spans="1:19" ht="18" customHeight="1" x14ac:dyDescent="0.25">
      <c r="A225" s="201"/>
      <c r="B225" s="199" t="s">
        <v>329</v>
      </c>
      <c r="C225" s="162">
        <f>SUM(C223:C224)</f>
        <v>0</v>
      </c>
      <c r="D225" s="111"/>
      <c r="E225" s="21"/>
      <c r="F225" s="21"/>
      <c r="G225" s="511">
        <f t="shared" si="17"/>
        <v>0</v>
      </c>
      <c r="H225" s="511">
        <f t="shared" si="18"/>
        <v>0</v>
      </c>
      <c r="I225" s="511">
        <f t="shared" si="19"/>
        <v>0</v>
      </c>
      <c r="J225" s="515">
        <f t="shared" si="20"/>
        <v>0</v>
      </c>
    </row>
    <row r="226" spans="1:19" ht="18" customHeight="1" x14ac:dyDescent="0.25">
      <c r="A226" s="21"/>
      <c r="B226" s="21"/>
      <c r="C226" s="21"/>
      <c r="D226" s="111"/>
      <c r="E226" s="111"/>
      <c r="F226" s="111"/>
      <c r="G226" s="511">
        <f t="shared" si="17"/>
        <v>0</v>
      </c>
      <c r="H226" s="511">
        <f t="shared" si="18"/>
        <v>0</v>
      </c>
      <c r="I226" s="511">
        <f t="shared" si="19"/>
        <v>0</v>
      </c>
      <c r="J226" s="515">
        <f t="shared" si="20"/>
        <v>0</v>
      </c>
    </row>
    <row r="227" spans="1:19" ht="18" customHeight="1" x14ac:dyDescent="0.25">
      <c r="A227" s="21"/>
      <c r="B227" s="21"/>
      <c r="C227" s="21"/>
      <c r="D227" s="21"/>
      <c r="E227" s="21"/>
      <c r="F227" s="111"/>
      <c r="G227" s="511">
        <f t="shared" si="17"/>
        <v>0</v>
      </c>
      <c r="H227" s="511">
        <f t="shared" si="18"/>
        <v>0</v>
      </c>
      <c r="I227" s="511">
        <f t="shared" si="19"/>
        <v>0</v>
      </c>
      <c r="J227" s="515">
        <f t="shared" si="20"/>
        <v>0</v>
      </c>
    </row>
    <row r="228" spans="1:19" ht="18" customHeight="1" x14ac:dyDescent="0.25">
      <c r="A228" s="549" t="s">
        <v>330</v>
      </c>
      <c r="B228" s="550"/>
      <c r="C228" s="550"/>
      <c r="D228" s="550"/>
      <c r="E228" s="551"/>
      <c r="F228" s="111"/>
      <c r="G228" s="511">
        <f t="shared" si="17"/>
        <v>0</v>
      </c>
      <c r="H228" s="511">
        <f t="shared" si="18"/>
        <v>0</v>
      </c>
      <c r="I228" s="511">
        <f t="shared" si="19"/>
        <v>0</v>
      </c>
      <c r="J228" s="515">
        <f t="shared" si="20"/>
        <v>0</v>
      </c>
    </row>
    <row r="229" spans="1:19" ht="56.25" customHeight="1" x14ac:dyDescent="0.25">
      <c r="A229" s="1" t="s">
        <v>8</v>
      </c>
      <c r="B229" s="1" t="s">
        <v>9</v>
      </c>
      <c r="C229" s="227" t="s">
        <v>10</v>
      </c>
      <c r="D229" s="3" t="s">
        <v>11</v>
      </c>
      <c r="E229" s="229" t="s">
        <v>12</v>
      </c>
      <c r="F229" s="111"/>
    </row>
    <row r="230" spans="1:19" ht="15" customHeight="1" x14ac:dyDescent="0.25">
      <c r="A230" s="179" t="s">
        <v>331</v>
      </c>
      <c r="B230" s="196" t="s">
        <v>332</v>
      </c>
      <c r="C230" s="132">
        <f>+'ENERO '!C230+FEBRERO!C230+MARZO!C230+ABRIL!C230+MAYO!C230+JUNIO!C230+JULIO!C230+AGOSTO!C230+SEPTIEMBRE!C230+OCTUBRE!C230+NOVIEMBRE!C230+DICIEMBRE!C230</f>
        <v>5022</v>
      </c>
      <c r="D230" s="31">
        <f>+[1]BS17A!$U1941</f>
        <v>18750</v>
      </c>
      <c r="E230" s="132">
        <f>+'ENERO '!E230+FEBRERO!E230+MARZO!E230+ABRIL!E230+MAYO!E230+JUNIO!E230+JULIO!E230+AGOSTO!E230+SEPTIEMBRE!E230+OCTUBRE!E230+NOVIEMBRE!E230+DICIEMBRE!E230</f>
        <v>96064260</v>
      </c>
      <c r="F230" s="21"/>
      <c r="G230" s="511">
        <f t="shared" si="17"/>
        <v>13723465.714285715</v>
      </c>
      <c r="H230" s="511">
        <f t="shared" si="18"/>
        <v>164681588.57142857</v>
      </c>
      <c r="I230" s="511">
        <f t="shared" si="19"/>
        <v>16468158.857142858</v>
      </c>
      <c r="J230" s="515">
        <f t="shared" si="20"/>
        <v>181149747.42857143</v>
      </c>
      <c r="S230" s="511">
        <v>74591540</v>
      </c>
    </row>
    <row r="231" spans="1:19" ht="15" customHeight="1" x14ac:dyDescent="0.25">
      <c r="A231" s="181" t="s">
        <v>333</v>
      </c>
      <c r="B231" s="178" t="s">
        <v>334</v>
      </c>
      <c r="C231" s="132">
        <f>+'ENERO '!C231+FEBRERO!C231+MARZO!C231+ABRIL!C231+MAYO!C231+JUNIO!C231+JULIO!C231+AGOSTO!C231+SEPTIEMBRE!C231+OCTUBRE!C231+NOVIEMBRE!C231+DICIEMBRE!C231</f>
        <v>0</v>
      </c>
      <c r="D231" s="33">
        <f>+[1]BS17A!$U1942</f>
        <v>235010</v>
      </c>
      <c r="E231" s="132">
        <f>+'ENERO '!E231+FEBRERO!E231+MARZO!E231+ABRIL!E231+MAYO!E231+JUNIO!E231+JULIO!E231+AGOSTO!E231+SEPTIEMBRE!E231+OCTUBRE!E231+NOVIEMBRE!E231+DICIEMBRE!E231</f>
        <v>0</v>
      </c>
      <c r="F231" s="21"/>
      <c r="G231" s="511">
        <f t="shared" si="17"/>
        <v>0</v>
      </c>
      <c r="H231" s="511">
        <f t="shared" si="18"/>
        <v>0</v>
      </c>
      <c r="I231" s="511">
        <f t="shared" si="19"/>
        <v>0</v>
      </c>
      <c r="J231" s="515">
        <f t="shared" si="20"/>
        <v>0</v>
      </c>
      <c r="S231" s="511">
        <v>0</v>
      </c>
    </row>
    <row r="232" spans="1:19" ht="18" customHeight="1" x14ac:dyDescent="0.25">
      <c r="A232" s="187"/>
      <c r="B232" s="186" t="s">
        <v>335</v>
      </c>
      <c r="C232" s="132">
        <f>+'ENERO '!C232+FEBRERO!C232+MARZO!C232+ABRIL!C232+MAYO!C232+JUNIO!C232+JULIO!C232+AGOSTO!C232+SEPTIEMBRE!C232+OCTUBRE!C232+NOVIEMBRE!C232+DICIEMBRE!C232</f>
        <v>5022</v>
      </c>
      <c r="D232" s="100"/>
      <c r="E232" s="101">
        <f>SUM(E230:E231)</f>
        <v>96064260</v>
      </c>
      <c r="F232" s="21"/>
      <c r="G232" s="511">
        <f t="shared" si="17"/>
        <v>13723465.714285715</v>
      </c>
      <c r="H232" s="511">
        <f t="shared" si="18"/>
        <v>164681588.57142857</v>
      </c>
      <c r="I232" s="511">
        <f t="shared" si="19"/>
        <v>16468158.857142858</v>
      </c>
      <c r="J232" s="515">
        <f t="shared" si="20"/>
        <v>181149747.42857143</v>
      </c>
      <c r="S232" s="511">
        <v>74591540</v>
      </c>
    </row>
    <row r="233" spans="1:19" ht="18" customHeight="1" x14ac:dyDescent="0.25">
      <c r="A233" s="114"/>
      <c r="B233" s="115"/>
      <c r="C233" s="116"/>
      <c r="D233" s="114"/>
      <c r="E233" s="114"/>
      <c r="F233" s="21"/>
      <c r="G233" s="511">
        <f t="shared" si="17"/>
        <v>0</v>
      </c>
      <c r="H233" s="511">
        <f t="shared" si="18"/>
        <v>0</v>
      </c>
      <c r="I233" s="511">
        <f t="shared" si="19"/>
        <v>0</v>
      </c>
      <c r="J233" s="515">
        <f t="shared" si="20"/>
        <v>0</v>
      </c>
    </row>
    <row r="234" spans="1:19" ht="18" customHeight="1" x14ac:dyDescent="0.25">
      <c r="A234" s="114"/>
      <c r="B234" s="115"/>
      <c r="C234" s="116"/>
      <c r="D234" s="114"/>
      <c r="E234" s="114"/>
      <c r="F234" s="21"/>
      <c r="G234" s="511">
        <f t="shared" si="17"/>
        <v>0</v>
      </c>
      <c r="H234" s="511">
        <f t="shared" si="18"/>
        <v>0</v>
      </c>
      <c r="I234" s="511">
        <f t="shared" si="19"/>
        <v>0</v>
      </c>
      <c r="J234" s="515">
        <f t="shared" si="20"/>
        <v>0</v>
      </c>
    </row>
    <row r="235" spans="1:19" ht="18" customHeight="1" x14ac:dyDescent="0.25">
      <c r="A235" s="557" t="s">
        <v>336</v>
      </c>
      <c r="B235" s="550"/>
      <c r="C235" s="550"/>
      <c r="D235" s="550"/>
      <c r="E235" s="551"/>
      <c r="F235" s="21"/>
      <c r="G235" s="511">
        <f t="shared" si="17"/>
        <v>0</v>
      </c>
      <c r="H235" s="511">
        <f t="shared" si="18"/>
        <v>0</v>
      </c>
      <c r="I235" s="511">
        <f t="shared" si="19"/>
        <v>0</v>
      </c>
      <c r="J235" s="515">
        <f t="shared" si="20"/>
        <v>0</v>
      </c>
    </row>
    <row r="236" spans="1:19" ht="41.25" customHeight="1" x14ac:dyDescent="0.25">
      <c r="A236" s="1" t="s">
        <v>8</v>
      </c>
      <c r="B236" s="1" t="s">
        <v>9</v>
      </c>
      <c r="C236" s="227" t="s">
        <v>10</v>
      </c>
      <c r="D236" s="3" t="s">
        <v>11</v>
      </c>
      <c r="E236" s="229" t="s">
        <v>12</v>
      </c>
      <c r="F236" s="21"/>
    </row>
    <row r="237" spans="1:19" ht="18" customHeight="1" x14ac:dyDescent="0.25">
      <c r="A237" s="93" t="s">
        <v>337</v>
      </c>
      <c r="B237" s="43" t="s">
        <v>338</v>
      </c>
      <c r="C237" s="132">
        <f>+'ENERO '!C237+FEBRERO!C237+MARZO!C237+ABRIL!C237+MAYO!C237+JUNIO!C237+JULIO!C237+AGOSTO!C237+SEPTIEMBRE!C237+OCTUBRE!C237+NOVIEMBRE!C237+DICIEMBRE!C237</f>
        <v>7436</v>
      </c>
      <c r="D237" s="118"/>
      <c r="E237" s="503">
        <f>+'ENERO '!E237+FEBRERO!E237+MARZO!E237+ABRIL!E237+MAYO!E237+JUNIO!E237+JULIO!E237+AGOSTO!E237+SEPTIEMBRE!E237+OCTUBRE!E237+NOVIEMBRE!E237+DICIEMBRE!E237</f>
        <v>51313060</v>
      </c>
      <c r="F237" s="21"/>
      <c r="G237" s="511">
        <f t="shared" si="17"/>
        <v>7330437.1428571427</v>
      </c>
      <c r="H237" s="511">
        <f t="shared" si="18"/>
        <v>87965245.714285716</v>
      </c>
      <c r="I237" s="511">
        <f t="shared" si="19"/>
        <v>8796524.5714285728</v>
      </c>
      <c r="J237" s="515">
        <f t="shared" si="20"/>
        <v>96761770.285714284</v>
      </c>
      <c r="S237" s="511">
        <v>34770320</v>
      </c>
    </row>
    <row r="238" spans="1:19" ht="18" customHeight="1" x14ac:dyDescent="0.25">
      <c r="A238" s="114"/>
      <c r="B238" s="115"/>
      <c r="C238" s="116"/>
      <c r="D238" s="114"/>
      <c r="E238" s="114"/>
      <c r="F238" s="21"/>
      <c r="G238" s="511">
        <f t="shared" si="17"/>
        <v>0</v>
      </c>
      <c r="H238" s="511">
        <f t="shared" si="18"/>
        <v>0</v>
      </c>
      <c r="I238" s="511">
        <f t="shared" si="19"/>
        <v>0</v>
      </c>
      <c r="J238" s="515">
        <f t="shared" si="20"/>
        <v>0</v>
      </c>
    </row>
    <row r="239" spans="1:19" ht="18" customHeight="1" x14ac:dyDescent="0.25">
      <c r="A239" s="557" t="s">
        <v>339</v>
      </c>
      <c r="B239" s="558"/>
      <c r="C239" s="558"/>
      <c r="D239" s="558"/>
      <c r="E239" s="559"/>
      <c r="F239" s="21"/>
      <c r="G239" s="511">
        <f t="shared" si="17"/>
        <v>0</v>
      </c>
      <c r="H239" s="511">
        <f t="shared" si="18"/>
        <v>0</v>
      </c>
      <c r="I239" s="511">
        <f t="shared" si="19"/>
        <v>0</v>
      </c>
      <c r="J239" s="515">
        <f t="shared" si="20"/>
        <v>0</v>
      </c>
    </row>
    <row r="240" spans="1:19" ht="43.5" customHeight="1" x14ac:dyDescent="0.25">
      <c r="A240" s="1" t="s">
        <v>8</v>
      </c>
      <c r="B240" s="227" t="s">
        <v>340</v>
      </c>
      <c r="C240" s="2" t="s">
        <v>341</v>
      </c>
      <c r="D240" s="3" t="s">
        <v>11</v>
      </c>
      <c r="E240" s="229" t="s">
        <v>12</v>
      </c>
      <c r="F240" s="21"/>
    </row>
    <row r="241" spans="1:10" ht="15" customHeight="1" x14ac:dyDescent="0.25">
      <c r="A241" s="30" t="s">
        <v>342</v>
      </c>
      <c r="B241" s="144" t="s">
        <v>343</v>
      </c>
      <c r="C241" s="132">
        <f>+'ENERO '!C241+FEBRERO!C241+MARZO!C241+ABRIL!C241+MAYO!C241+JUNIO!C241+JULIO!C241+AGOSTO!C241+SEPTIEMBRE!C241+OCTUBRE!C241+NOVIEMBRE!C241+DICIEMBRE!C241</f>
        <v>0</v>
      </c>
      <c r="D241" s="31">
        <f>+[1]BS17A!$U1944</f>
        <v>240030</v>
      </c>
      <c r="E241" s="132">
        <f>+'ENERO '!E241+FEBRERO!E241+MARZO!E241+ABRIL!E241+MAYO!E241+JUNIO!E241+JULIO!E241+AGOSTO!E241+SEPTIEMBRE!E241+OCTUBRE!E241+NOVIEMBRE!E241+DICIEMBRE!E241</f>
        <v>0</v>
      </c>
      <c r="F241" s="21"/>
      <c r="G241" s="511">
        <f t="shared" si="17"/>
        <v>0</v>
      </c>
      <c r="H241" s="511">
        <f t="shared" si="18"/>
        <v>0</v>
      </c>
      <c r="I241" s="511">
        <f t="shared" si="19"/>
        <v>0</v>
      </c>
      <c r="J241" s="515">
        <f t="shared" si="20"/>
        <v>0</v>
      </c>
    </row>
    <row r="242" spans="1:10" ht="15" customHeight="1" x14ac:dyDescent="0.25">
      <c r="A242" s="25" t="s">
        <v>344</v>
      </c>
      <c r="B242" s="145" t="s">
        <v>345</v>
      </c>
      <c r="C242" s="132">
        <f>+'ENERO '!C242+FEBRERO!C242+MARZO!C242+ABRIL!C242+MAYO!C242+JUNIO!C242+JULIO!C242+AGOSTO!C242+SEPTIEMBRE!C242+OCTUBRE!C242+NOVIEMBRE!C242+DICIEMBRE!C242</f>
        <v>0</v>
      </c>
      <c r="D242" s="26">
        <f>+[1]BS17A!$U1945</f>
        <v>34110</v>
      </c>
      <c r="E242" s="132">
        <f>+'ENERO '!E242+FEBRERO!E242+MARZO!E242+ABRIL!E242+MAYO!E242+JUNIO!E242+JULIO!E242+AGOSTO!E242+SEPTIEMBRE!E242+OCTUBRE!E242+NOVIEMBRE!E242+DICIEMBRE!E242</f>
        <v>0</v>
      </c>
      <c r="F242" s="21"/>
      <c r="G242" s="511">
        <f t="shared" si="17"/>
        <v>0</v>
      </c>
      <c r="H242" s="511">
        <f t="shared" si="18"/>
        <v>0</v>
      </c>
      <c r="I242" s="511">
        <f t="shared" si="19"/>
        <v>0</v>
      </c>
      <c r="J242" s="515">
        <f t="shared" si="20"/>
        <v>0</v>
      </c>
    </row>
    <row r="243" spans="1:10" ht="15" customHeight="1" x14ac:dyDescent="0.25">
      <c r="A243" s="25" t="s">
        <v>346</v>
      </c>
      <c r="B243" s="145" t="s">
        <v>347</v>
      </c>
      <c r="C243" s="132">
        <f>+'ENERO '!C243+FEBRERO!C243+MARZO!C243+ABRIL!C243+MAYO!C243+JUNIO!C243+JULIO!C243+AGOSTO!C243+SEPTIEMBRE!C243+OCTUBRE!C243+NOVIEMBRE!C243+DICIEMBRE!C243</f>
        <v>0</v>
      </c>
      <c r="D243" s="26">
        <f>+[1]BS17A!$U1946</f>
        <v>128660</v>
      </c>
      <c r="E243" s="132">
        <f>+'ENERO '!E243+FEBRERO!E243+MARZO!E243+ABRIL!E243+MAYO!E243+JUNIO!E243+JULIO!E243+AGOSTO!E243+SEPTIEMBRE!E243+OCTUBRE!E243+NOVIEMBRE!E243+DICIEMBRE!E243</f>
        <v>0</v>
      </c>
      <c r="F243" s="21"/>
      <c r="G243" s="511">
        <f t="shared" si="17"/>
        <v>0</v>
      </c>
      <c r="H243" s="511">
        <f t="shared" si="18"/>
        <v>0</v>
      </c>
      <c r="I243" s="511">
        <f t="shared" si="19"/>
        <v>0</v>
      </c>
      <c r="J243" s="515">
        <f t="shared" si="20"/>
        <v>0</v>
      </c>
    </row>
    <row r="244" spans="1:10" ht="15" customHeight="1" x14ac:dyDescent="0.25">
      <c r="A244" s="25" t="s">
        <v>348</v>
      </c>
      <c r="B244" s="145" t="s">
        <v>349</v>
      </c>
      <c r="C244" s="132">
        <f>+'ENERO '!C244+FEBRERO!C244+MARZO!C244+ABRIL!C244+MAYO!C244+JUNIO!C244+JULIO!C244+AGOSTO!C244+SEPTIEMBRE!C244+OCTUBRE!C244+NOVIEMBRE!C244+DICIEMBRE!C244</f>
        <v>0</v>
      </c>
      <c r="D244" s="26">
        <f>+[1]BS17A!$U1947</f>
        <v>128660</v>
      </c>
      <c r="E244" s="132">
        <f>+'ENERO '!E244+FEBRERO!E244+MARZO!E244+ABRIL!E244+MAYO!E244+JUNIO!E244+JULIO!E244+AGOSTO!E244+SEPTIEMBRE!E244+OCTUBRE!E244+NOVIEMBRE!E244+DICIEMBRE!E244</f>
        <v>0</v>
      </c>
      <c r="F244" s="21"/>
      <c r="G244" s="511">
        <f t="shared" si="17"/>
        <v>0</v>
      </c>
      <c r="H244" s="511">
        <f t="shared" si="18"/>
        <v>0</v>
      </c>
      <c r="I244" s="511">
        <f t="shared" si="19"/>
        <v>0</v>
      </c>
      <c r="J244" s="515">
        <f t="shared" si="20"/>
        <v>0</v>
      </c>
    </row>
    <row r="245" spans="1:10" ht="15" customHeight="1" x14ac:dyDescent="0.25">
      <c r="A245" s="25" t="s">
        <v>350</v>
      </c>
      <c r="B245" s="145" t="s">
        <v>351</v>
      </c>
      <c r="C245" s="132">
        <f>+'ENERO '!C245+FEBRERO!C245+MARZO!C245+ABRIL!C245+MAYO!C245+JUNIO!C245+JULIO!C245+AGOSTO!C245+SEPTIEMBRE!C245+OCTUBRE!C245+NOVIEMBRE!C245+DICIEMBRE!C245</f>
        <v>0</v>
      </c>
      <c r="D245" s="26">
        <f>+[1]BS17A!$U1948</f>
        <v>234230</v>
      </c>
      <c r="E245" s="132">
        <f>+'ENERO '!E245+FEBRERO!E245+MARZO!E245+ABRIL!E245+MAYO!E245+JUNIO!E245+JULIO!E245+AGOSTO!E245+SEPTIEMBRE!E245+OCTUBRE!E245+NOVIEMBRE!E245+DICIEMBRE!E245</f>
        <v>0</v>
      </c>
      <c r="F245" s="21"/>
      <c r="G245" s="511">
        <f t="shared" si="17"/>
        <v>0</v>
      </c>
      <c r="H245" s="511">
        <f t="shared" si="18"/>
        <v>0</v>
      </c>
      <c r="I245" s="511">
        <f t="shared" si="19"/>
        <v>0</v>
      </c>
      <c r="J245" s="515">
        <f t="shared" si="20"/>
        <v>0</v>
      </c>
    </row>
    <row r="246" spans="1:10" ht="15" customHeight="1" x14ac:dyDescent="0.25">
      <c r="A246" s="25" t="s">
        <v>352</v>
      </c>
      <c r="B246" s="145" t="s">
        <v>353</v>
      </c>
      <c r="C246" s="132">
        <f>+'ENERO '!C246+FEBRERO!C246+MARZO!C246+ABRIL!C246+MAYO!C246+JUNIO!C246+JULIO!C246+AGOSTO!C246+SEPTIEMBRE!C246+OCTUBRE!C246+NOVIEMBRE!C246+DICIEMBRE!C246</f>
        <v>0</v>
      </c>
      <c r="D246" s="26">
        <f>+[1]BS17A!$U1949</f>
        <v>359460</v>
      </c>
      <c r="E246" s="132">
        <f>+'ENERO '!E246+FEBRERO!E246+MARZO!E246+ABRIL!E246+MAYO!E246+JUNIO!E246+JULIO!E246+AGOSTO!E246+SEPTIEMBRE!E246+OCTUBRE!E246+NOVIEMBRE!E246+DICIEMBRE!E246</f>
        <v>0</v>
      </c>
      <c r="F246" s="21"/>
      <c r="G246" s="511">
        <f t="shared" si="17"/>
        <v>0</v>
      </c>
      <c r="H246" s="511">
        <f t="shared" si="18"/>
        <v>0</v>
      </c>
      <c r="I246" s="511">
        <f t="shared" si="19"/>
        <v>0</v>
      </c>
      <c r="J246" s="515">
        <f t="shared" si="20"/>
        <v>0</v>
      </c>
    </row>
    <row r="247" spans="1:10" ht="15" customHeight="1" x14ac:dyDescent="0.25">
      <c r="A247" s="25" t="s">
        <v>354</v>
      </c>
      <c r="B247" s="145" t="s">
        <v>355</v>
      </c>
      <c r="C247" s="132">
        <f>+'ENERO '!C247+FEBRERO!C247+MARZO!C247+ABRIL!C247+MAYO!C247+JUNIO!C247+JULIO!C247+AGOSTO!C247+SEPTIEMBRE!C247+OCTUBRE!C247+NOVIEMBRE!C247+DICIEMBRE!C247</f>
        <v>0</v>
      </c>
      <c r="D247" s="26">
        <f>+[1]BS17A!$U1950</f>
        <v>613210</v>
      </c>
      <c r="E247" s="132">
        <f>+'ENERO '!E247+FEBRERO!E247+MARZO!E247+ABRIL!E247+MAYO!E247+JUNIO!E247+JULIO!E247+AGOSTO!E247+SEPTIEMBRE!E247+OCTUBRE!E247+NOVIEMBRE!E247+DICIEMBRE!E247</f>
        <v>0</v>
      </c>
      <c r="F247" s="21"/>
      <c r="G247" s="511">
        <f t="shared" si="17"/>
        <v>0</v>
      </c>
      <c r="H247" s="511">
        <f t="shared" si="18"/>
        <v>0</v>
      </c>
      <c r="I247" s="511">
        <f t="shared" si="19"/>
        <v>0</v>
      </c>
      <c r="J247" s="515">
        <f t="shared" si="20"/>
        <v>0</v>
      </c>
    </row>
    <row r="248" spans="1:10" ht="15" customHeight="1" x14ac:dyDescent="0.25">
      <c r="A248" s="48" t="s">
        <v>356</v>
      </c>
      <c r="B248" s="145" t="s">
        <v>357</v>
      </c>
      <c r="C248" s="132">
        <f>+'ENERO '!C248+FEBRERO!C248+MARZO!C248+ABRIL!C248+MAYO!C248+JUNIO!C248+JULIO!C248+AGOSTO!C248+SEPTIEMBRE!C248+OCTUBRE!C248+NOVIEMBRE!C248+DICIEMBRE!C248</f>
        <v>0</v>
      </c>
      <c r="D248" s="26">
        <f>+[1]BS17A!$U1951</f>
        <v>127720</v>
      </c>
      <c r="E248" s="132">
        <f>+'ENERO '!E248+FEBRERO!E248+MARZO!E248+ABRIL!E248+MAYO!E248+JUNIO!E248+JULIO!E248+AGOSTO!E248+SEPTIEMBRE!E248+OCTUBRE!E248+NOVIEMBRE!E248+DICIEMBRE!E248</f>
        <v>0</v>
      </c>
      <c r="F248" s="21"/>
      <c r="G248" s="511">
        <f t="shared" si="17"/>
        <v>0</v>
      </c>
      <c r="H248" s="511">
        <f t="shared" si="18"/>
        <v>0</v>
      </c>
      <c r="I248" s="511">
        <f t="shared" si="19"/>
        <v>0</v>
      </c>
      <c r="J248" s="515">
        <f t="shared" si="20"/>
        <v>0</v>
      </c>
    </row>
    <row r="249" spans="1:10" ht="15" customHeight="1" x14ac:dyDescent="0.25">
      <c r="A249" s="48" t="s">
        <v>358</v>
      </c>
      <c r="B249" s="145" t="s">
        <v>359</v>
      </c>
      <c r="C249" s="132">
        <f>+'ENERO '!C249+FEBRERO!C249+MARZO!C249+ABRIL!C249+MAYO!C249+JUNIO!C249+JULIO!C249+AGOSTO!C249+SEPTIEMBRE!C249+OCTUBRE!C249+NOVIEMBRE!C249+DICIEMBRE!C249</f>
        <v>0</v>
      </c>
      <c r="D249" s="26">
        <f>+[1]BS17A!$U1952</f>
        <v>344230</v>
      </c>
      <c r="E249" s="132">
        <f>+'ENERO '!E249+FEBRERO!E249+MARZO!E249+ABRIL!E249+MAYO!E249+JUNIO!E249+JULIO!E249+AGOSTO!E249+SEPTIEMBRE!E249+OCTUBRE!E249+NOVIEMBRE!E249+DICIEMBRE!E249</f>
        <v>0</v>
      </c>
      <c r="F249" s="21"/>
      <c r="G249" s="511">
        <f t="shared" si="17"/>
        <v>0</v>
      </c>
      <c r="H249" s="511">
        <f t="shared" si="18"/>
        <v>0</v>
      </c>
      <c r="I249" s="511">
        <f t="shared" si="19"/>
        <v>0</v>
      </c>
      <c r="J249" s="515">
        <f t="shared" si="20"/>
        <v>0</v>
      </c>
    </row>
    <row r="250" spans="1:10" ht="15" customHeight="1" x14ac:dyDescent="0.25">
      <c r="A250" s="48" t="s">
        <v>360</v>
      </c>
      <c r="B250" s="145" t="s">
        <v>361</v>
      </c>
      <c r="C250" s="132">
        <f>+'ENERO '!C250+FEBRERO!C250+MARZO!C250+ABRIL!C250+MAYO!C250+JUNIO!C250+JULIO!C250+AGOSTO!C250+SEPTIEMBRE!C250+OCTUBRE!C250+NOVIEMBRE!C250+DICIEMBRE!C250</f>
        <v>0</v>
      </c>
      <c r="D250" s="28">
        <f>+[1]BS17A!$U1953</f>
        <v>144940</v>
      </c>
      <c r="E250" s="132">
        <f>+'ENERO '!E250+FEBRERO!E250+MARZO!E250+ABRIL!E250+MAYO!E250+JUNIO!E250+JULIO!E250+AGOSTO!E250+SEPTIEMBRE!E250+OCTUBRE!E250+NOVIEMBRE!E250+DICIEMBRE!E250</f>
        <v>0</v>
      </c>
      <c r="F250" s="21"/>
      <c r="G250" s="511">
        <f t="shared" si="17"/>
        <v>0</v>
      </c>
      <c r="H250" s="511">
        <f t="shared" si="18"/>
        <v>0</v>
      </c>
      <c r="I250" s="511">
        <f t="shared" si="19"/>
        <v>0</v>
      </c>
      <c r="J250" s="515">
        <f t="shared" si="20"/>
        <v>0</v>
      </c>
    </row>
    <row r="251" spans="1:10" ht="15" customHeight="1" x14ac:dyDescent="0.25">
      <c r="A251" s="48" t="s">
        <v>362</v>
      </c>
      <c r="B251" s="145" t="s">
        <v>363</v>
      </c>
      <c r="C251" s="132">
        <f>+'ENERO '!C251+FEBRERO!C251+MARZO!C251+ABRIL!C251+MAYO!C251+JUNIO!C251+JULIO!C251+AGOSTO!C251+SEPTIEMBRE!C251+OCTUBRE!C251+NOVIEMBRE!C251+DICIEMBRE!C251</f>
        <v>0</v>
      </c>
      <c r="D251" s="28">
        <f>+[1]BS17A!$U1954</f>
        <v>125950</v>
      </c>
      <c r="E251" s="132">
        <f>+'ENERO '!E251+FEBRERO!E251+MARZO!E251+ABRIL!E251+MAYO!E251+JUNIO!E251+JULIO!E251+AGOSTO!E251+SEPTIEMBRE!E251+OCTUBRE!E251+NOVIEMBRE!E251+DICIEMBRE!E251</f>
        <v>0</v>
      </c>
      <c r="F251" s="21"/>
      <c r="G251" s="511">
        <f t="shared" si="17"/>
        <v>0</v>
      </c>
      <c r="H251" s="511">
        <f t="shared" si="18"/>
        <v>0</v>
      </c>
      <c r="I251" s="511">
        <f t="shared" si="19"/>
        <v>0</v>
      </c>
      <c r="J251" s="515">
        <f t="shared" si="20"/>
        <v>0</v>
      </c>
    </row>
    <row r="252" spans="1:10" ht="15" customHeight="1" x14ac:dyDescent="0.25">
      <c r="A252" s="48" t="s">
        <v>364</v>
      </c>
      <c r="B252" s="145" t="s">
        <v>365</v>
      </c>
      <c r="C252" s="132">
        <f>+'ENERO '!C252+FEBRERO!C252+MARZO!C252+ABRIL!C252+MAYO!C252+JUNIO!C252+JULIO!C252+AGOSTO!C252+SEPTIEMBRE!C252+OCTUBRE!C252+NOVIEMBRE!C252+DICIEMBRE!C252</f>
        <v>0</v>
      </c>
      <c r="D252" s="28">
        <f>+[1]BS17A!$U1955</f>
        <v>191490</v>
      </c>
      <c r="E252" s="132">
        <f>+'ENERO '!E252+FEBRERO!E252+MARZO!E252+ABRIL!E252+MAYO!E252+JUNIO!E252+JULIO!E252+AGOSTO!E252+SEPTIEMBRE!E252+OCTUBRE!E252+NOVIEMBRE!E252+DICIEMBRE!E252</f>
        <v>0</v>
      </c>
      <c r="F252" s="21"/>
      <c r="G252" s="511">
        <f t="shared" si="17"/>
        <v>0</v>
      </c>
      <c r="H252" s="511">
        <f t="shared" si="18"/>
        <v>0</v>
      </c>
      <c r="I252" s="511">
        <f t="shared" si="19"/>
        <v>0</v>
      </c>
      <c r="J252" s="515">
        <f t="shared" si="20"/>
        <v>0</v>
      </c>
    </row>
    <row r="253" spans="1:10" ht="15" customHeight="1" x14ac:dyDescent="0.25">
      <c r="A253" s="48" t="s">
        <v>366</v>
      </c>
      <c r="B253" s="145" t="s">
        <v>367</v>
      </c>
      <c r="C253" s="132">
        <f>+'ENERO '!C253+FEBRERO!C253+MARZO!C253+ABRIL!C253+MAYO!C253+JUNIO!C253+JULIO!C253+AGOSTO!C253+SEPTIEMBRE!C253+OCTUBRE!C253+NOVIEMBRE!C253+DICIEMBRE!C253</f>
        <v>0</v>
      </c>
      <c r="D253" s="28">
        <f>+[1]BS17A!$U1956</f>
        <v>50390</v>
      </c>
      <c r="E253" s="132">
        <f>+'ENERO '!E253+FEBRERO!E253+MARZO!E253+ABRIL!E253+MAYO!E253+JUNIO!E253+JULIO!E253+AGOSTO!E253+SEPTIEMBRE!E253+OCTUBRE!E253+NOVIEMBRE!E253+DICIEMBRE!E253</f>
        <v>0</v>
      </c>
      <c r="F253" s="21"/>
      <c r="G253" s="511">
        <f t="shared" si="17"/>
        <v>0</v>
      </c>
      <c r="H253" s="511">
        <f t="shared" si="18"/>
        <v>0</v>
      </c>
      <c r="I253" s="511">
        <f t="shared" si="19"/>
        <v>0</v>
      </c>
      <c r="J253" s="515">
        <f t="shared" si="20"/>
        <v>0</v>
      </c>
    </row>
    <row r="254" spans="1:10" ht="15" customHeight="1" x14ac:dyDescent="0.25">
      <c r="A254" s="79" t="s">
        <v>368</v>
      </c>
      <c r="B254" s="155" t="s">
        <v>369</v>
      </c>
      <c r="C254" s="132">
        <f>+'ENERO '!C254+FEBRERO!C254+MARZO!C254+ABRIL!C254+MAYO!C254+JUNIO!C254+JULIO!C254+AGOSTO!C254+SEPTIEMBRE!C254+OCTUBRE!C254+NOVIEMBRE!C254+DICIEMBRE!C254</f>
        <v>0</v>
      </c>
      <c r="D254" s="33">
        <f>+[1]BS17A!$U1957</f>
        <v>37660</v>
      </c>
      <c r="E254" s="132">
        <f>+'ENERO '!E254+FEBRERO!E254+MARZO!E254+ABRIL!E254+MAYO!E254+JUNIO!E254+JULIO!E254+AGOSTO!E254+SEPTIEMBRE!E254+OCTUBRE!E254+NOVIEMBRE!E254+DICIEMBRE!E254</f>
        <v>0</v>
      </c>
      <c r="F254" s="21"/>
      <c r="G254" s="511">
        <f t="shared" si="17"/>
        <v>0</v>
      </c>
      <c r="H254" s="511">
        <f t="shared" si="18"/>
        <v>0</v>
      </c>
      <c r="I254" s="511">
        <f t="shared" si="19"/>
        <v>0</v>
      </c>
      <c r="J254" s="515">
        <f t="shared" si="20"/>
        <v>0</v>
      </c>
    </row>
    <row r="255" spans="1:10" ht="15" customHeight="1" x14ac:dyDescent="0.25">
      <c r="A255" s="552" t="s">
        <v>370</v>
      </c>
      <c r="B255" s="553"/>
      <c r="C255" s="553"/>
      <c r="D255" s="553"/>
      <c r="E255" s="554"/>
      <c r="F255" s="21"/>
      <c r="G255" s="511">
        <f t="shared" si="17"/>
        <v>0</v>
      </c>
      <c r="H255" s="511">
        <f t="shared" si="18"/>
        <v>0</v>
      </c>
      <c r="I255" s="511">
        <f t="shared" si="19"/>
        <v>0</v>
      </c>
      <c r="J255" s="515">
        <f t="shared" si="20"/>
        <v>0</v>
      </c>
    </row>
    <row r="256" spans="1:10" ht="15" customHeight="1" x14ac:dyDescent="0.25">
      <c r="A256" s="179" t="s">
        <v>371</v>
      </c>
      <c r="B256" s="193" t="s">
        <v>343</v>
      </c>
      <c r="C256" s="132">
        <f>+'ENERO '!C256+FEBRERO!C256+MARZO!C256+ABRIL!C256+MAYO!C256+JUNIO!C256+JULIO!C256+AGOSTO!C256+SEPTIEMBRE!C256+OCTUBRE!C256+NOVIEMBRE!C256+DICIEMBRE!C256</f>
        <v>0</v>
      </c>
      <c r="D256" s="31">
        <f>+[1]BS17A!$U1958</f>
        <v>206500</v>
      </c>
      <c r="E256" s="132">
        <f>+'ENERO '!E256+FEBRERO!E256+MARZO!E256+ABRIL!E256+MAYO!E256+JUNIO!E256+JULIO!E256+AGOSTO!E256+SEPTIEMBRE!E256+OCTUBRE!E256+NOVIEMBRE!E256+DICIEMBRE!E256</f>
        <v>0</v>
      </c>
      <c r="F256" s="21"/>
      <c r="G256" s="511">
        <f t="shared" si="17"/>
        <v>0</v>
      </c>
      <c r="H256" s="511">
        <f t="shared" si="18"/>
        <v>0</v>
      </c>
      <c r="I256" s="511">
        <f t="shared" si="19"/>
        <v>0</v>
      </c>
      <c r="J256" s="515">
        <f t="shared" si="20"/>
        <v>0</v>
      </c>
    </row>
    <row r="257" spans="1:10" ht="15" customHeight="1" x14ac:dyDescent="0.25">
      <c r="A257" s="180" t="s">
        <v>372</v>
      </c>
      <c r="B257" s="194" t="s">
        <v>373</v>
      </c>
      <c r="C257" s="132">
        <f>+'ENERO '!C257+FEBRERO!C257+MARZO!C257+ABRIL!C257+MAYO!C257+JUNIO!C257+JULIO!C257+AGOSTO!C257+SEPTIEMBRE!C257+OCTUBRE!C257+NOVIEMBRE!C257+DICIEMBRE!C257</f>
        <v>0</v>
      </c>
      <c r="D257" s="26">
        <f>+[1]BS17A!$U1959</f>
        <v>1228440</v>
      </c>
      <c r="E257" s="132">
        <f>+'ENERO '!E257+FEBRERO!E257+MARZO!E257+ABRIL!E257+MAYO!E257+JUNIO!E257+JULIO!E257+AGOSTO!E257+SEPTIEMBRE!E257+OCTUBRE!E257+NOVIEMBRE!E257+DICIEMBRE!E257</f>
        <v>0</v>
      </c>
      <c r="F257" s="21"/>
      <c r="G257" s="511">
        <f t="shared" si="17"/>
        <v>0</v>
      </c>
      <c r="H257" s="511">
        <f t="shared" si="18"/>
        <v>0</v>
      </c>
      <c r="I257" s="511">
        <f t="shared" si="19"/>
        <v>0</v>
      </c>
      <c r="J257" s="515">
        <f t="shared" si="20"/>
        <v>0</v>
      </c>
    </row>
    <row r="258" spans="1:10" ht="15" customHeight="1" x14ac:dyDescent="0.25">
      <c r="A258" s="180" t="s">
        <v>374</v>
      </c>
      <c r="B258" s="194" t="s">
        <v>375</v>
      </c>
      <c r="C258" s="132">
        <f>+'ENERO '!C258+FEBRERO!C258+MARZO!C258+ABRIL!C258+MAYO!C258+JUNIO!C258+JULIO!C258+AGOSTO!C258+SEPTIEMBRE!C258+OCTUBRE!C258+NOVIEMBRE!C258+DICIEMBRE!C258</f>
        <v>0</v>
      </c>
      <c r="D258" s="26">
        <f>+[1]BS17A!$U1960</f>
        <v>185340</v>
      </c>
      <c r="E258" s="132">
        <f>+'ENERO '!E258+FEBRERO!E258+MARZO!E258+ABRIL!E258+MAYO!E258+JUNIO!E258+JULIO!E258+AGOSTO!E258+SEPTIEMBRE!E258+OCTUBRE!E258+NOVIEMBRE!E258+DICIEMBRE!E258</f>
        <v>0</v>
      </c>
      <c r="F258" s="21"/>
      <c r="G258" s="511">
        <f t="shared" si="17"/>
        <v>0</v>
      </c>
      <c r="H258" s="511">
        <f t="shared" si="18"/>
        <v>0</v>
      </c>
      <c r="I258" s="511">
        <f t="shared" si="19"/>
        <v>0</v>
      </c>
      <c r="J258" s="515">
        <f t="shared" si="20"/>
        <v>0</v>
      </c>
    </row>
    <row r="259" spans="1:10" ht="15" customHeight="1" x14ac:dyDescent="0.25">
      <c r="A259" s="180" t="s">
        <v>376</v>
      </c>
      <c r="B259" s="194" t="s">
        <v>377</v>
      </c>
      <c r="C259" s="132">
        <f>+'ENERO '!C259+FEBRERO!C259+MARZO!C259+ABRIL!C259+MAYO!C259+JUNIO!C259+JULIO!C259+AGOSTO!C259+SEPTIEMBRE!C259+OCTUBRE!C259+NOVIEMBRE!C259+DICIEMBRE!C259</f>
        <v>0</v>
      </c>
      <c r="D259" s="26">
        <f>+[1]BS17A!$U1961</f>
        <v>163900</v>
      </c>
      <c r="E259" s="132">
        <f>+'ENERO '!E259+FEBRERO!E259+MARZO!E259+ABRIL!E259+MAYO!E259+JUNIO!E259+JULIO!E259+AGOSTO!E259+SEPTIEMBRE!E259+OCTUBRE!E259+NOVIEMBRE!E259+DICIEMBRE!E259</f>
        <v>0</v>
      </c>
      <c r="F259" s="21"/>
      <c r="G259" s="511">
        <f t="shared" si="17"/>
        <v>0</v>
      </c>
      <c r="H259" s="511">
        <f t="shared" si="18"/>
        <v>0</v>
      </c>
      <c r="I259" s="511">
        <f t="shared" si="19"/>
        <v>0</v>
      </c>
      <c r="J259" s="515">
        <f t="shared" si="20"/>
        <v>0</v>
      </c>
    </row>
    <row r="260" spans="1:10" ht="15" customHeight="1" x14ac:dyDescent="0.25">
      <c r="A260" s="180" t="s">
        <v>378</v>
      </c>
      <c r="B260" s="194" t="s">
        <v>379</v>
      </c>
      <c r="C260" s="132">
        <f>+'ENERO '!C260+FEBRERO!C260+MARZO!C260+ABRIL!C260+MAYO!C260+JUNIO!C260+JULIO!C260+AGOSTO!C260+SEPTIEMBRE!C260+OCTUBRE!C260+NOVIEMBRE!C260+DICIEMBRE!C260</f>
        <v>0</v>
      </c>
      <c r="D260" s="26">
        <f>+[1]BS17A!$U1962</f>
        <v>332720</v>
      </c>
      <c r="E260" s="132">
        <f>+'ENERO '!E260+FEBRERO!E260+MARZO!E260+ABRIL!E260+MAYO!E260+JUNIO!E260+JULIO!E260+AGOSTO!E260+SEPTIEMBRE!E260+OCTUBRE!E260+NOVIEMBRE!E260+DICIEMBRE!E260</f>
        <v>0</v>
      </c>
      <c r="F260" s="21"/>
      <c r="G260" s="511">
        <f t="shared" si="17"/>
        <v>0</v>
      </c>
      <c r="H260" s="511">
        <f t="shared" si="18"/>
        <v>0</v>
      </c>
      <c r="I260" s="511">
        <f t="shared" si="19"/>
        <v>0</v>
      </c>
      <c r="J260" s="515">
        <f t="shared" si="20"/>
        <v>0</v>
      </c>
    </row>
    <row r="261" spans="1:10" ht="15" customHeight="1" x14ac:dyDescent="0.25">
      <c r="A261" s="180" t="s">
        <v>380</v>
      </c>
      <c r="B261" s="194" t="s">
        <v>381</v>
      </c>
      <c r="C261" s="132">
        <f>+'ENERO '!C261+FEBRERO!C261+MARZO!C261+ABRIL!C261+MAYO!C261+JUNIO!C261+JULIO!C261+AGOSTO!C261+SEPTIEMBRE!C261+OCTUBRE!C261+NOVIEMBRE!C261+DICIEMBRE!C261</f>
        <v>0</v>
      </c>
      <c r="D261" s="26">
        <f>+[1]BS17A!$U1963</f>
        <v>1106400</v>
      </c>
      <c r="E261" s="132">
        <f>+'ENERO '!E261+FEBRERO!E261+MARZO!E261+ABRIL!E261+MAYO!E261+JUNIO!E261+JULIO!E261+AGOSTO!E261+SEPTIEMBRE!E261+OCTUBRE!E261+NOVIEMBRE!E261+DICIEMBRE!E261</f>
        <v>0</v>
      </c>
      <c r="F261" s="21"/>
      <c r="G261" s="511">
        <f t="shared" si="17"/>
        <v>0</v>
      </c>
      <c r="H261" s="511">
        <f t="shared" si="18"/>
        <v>0</v>
      </c>
      <c r="I261" s="511">
        <f t="shared" si="19"/>
        <v>0</v>
      </c>
      <c r="J261" s="515">
        <f t="shared" si="20"/>
        <v>0</v>
      </c>
    </row>
    <row r="262" spans="1:10" ht="15" customHeight="1" x14ac:dyDescent="0.25">
      <c r="A262" s="180" t="s">
        <v>382</v>
      </c>
      <c r="B262" s="194" t="s">
        <v>383</v>
      </c>
      <c r="C262" s="132">
        <f>+'ENERO '!C262+FEBRERO!C262+MARZO!C262+ABRIL!C262+MAYO!C262+JUNIO!C262+JULIO!C262+AGOSTO!C262+SEPTIEMBRE!C262+OCTUBRE!C262+NOVIEMBRE!C262+DICIEMBRE!C262</f>
        <v>0</v>
      </c>
      <c r="D262" s="26">
        <f>+[1]BS17A!$U1964</f>
        <v>1137010</v>
      </c>
      <c r="E262" s="132">
        <f>+'ENERO '!E262+FEBRERO!E262+MARZO!E262+ABRIL!E262+MAYO!E262+JUNIO!E262+JULIO!E262+AGOSTO!E262+SEPTIEMBRE!E262+OCTUBRE!E262+NOVIEMBRE!E262+DICIEMBRE!E262</f>
        <v>0</v>
      </c>
      <c r="F262" s="21"/>
      <c r="G262" s="511">
        <f t="shared" si="17"/>
        <v>0</v>
      </c>
      <c r="H262" s="511">
        <f t="shared" si="18"/>
        <v>0</v>
      </c>
      <c r="I262" s="511">
        <f t="shared" si="19"/>
        <v>0</v>
      </c>
      <c r="J262" s="515">
        <f t="shared" si="20"/>
        <v>0</v>
      </c>
    </row>
    <row r="263" spans="1:10" ht="15" customHeight="1" x14ac:dyDescent="0.25">
      <c r="A263" s="180" t="s">
        <v>384</v>
      </c>
      <c r="B263" s="194" t="s">
        <v>385</v>
      </c>
      <c r="C263" s="132">
        <f>+'ENERO '!C263+FEBRERO!C263+MARZO!C263+ABRIL!C263+MAYO!C263+JUNIO!C263+JULIO!C263+AGOSTO!C263+SEPTIEMBRE!C263+OCTUBRE!C263+NOVIEMBRE!C263+DICIEMBRE!C263</f>
        <v>0</v>
      </c>
      <c r="D263" s="26">
        <f>+[1]BS17A!$U1965</f>
        <v>900260</v>
      </c>
      <c r="E263" s="132">
        <f>+'ENERO '!E263+FEBRERO!E263+MARZO!E263+ABRIL!E263+MAYO!E263+JUNIO!E263+JULIO!E263+AGOSTO!E263+SEPTIEMBRE!E263+OCTUBRE!E263+NOVIEMBRE!E263+DICIEMBRE!E263</f>
        <v>0</v>
      </c>
      <c r="F263" s="21"/>
      <c r="G263" s="511">
        <f t="shared" si="17"/>
        <v>0</v>
      </c>
      <c r="H263" s="511">
        <f t="shared" si="18"/>
        <v>0</v>
      </c>
      <c r="I263" s="511">
        <f t="shared" si="19"/>
        <v>0</v>
      </c>
      <c r="J263" s="515">
        <f t="shared" si="20"/>
        <v>0</v>
      </c>
    </row>
    <row r="264" spans="1:10" ht="15" customHeight="1" x14ac:dyDescent="0.25">
      <c r="A264" s="180" t="s">
        <v>386</v>
      </c>
      <c r="B264" s="194" t="s">
        <v>387</v>
      </c>
      <c r="C264" s="132">
        <f>+'ENERO '!C264+FEBRERO!C264+MARZO!C264+ABRIL!C264+MAYO!C264+JUNIO!C264+JULIO!C264+AGOSTO!C264+SEPTIEMBRE!C264+OCTUBRE!C264+NOVIEMBRE!C264+DICIEMBRE!C264</f>
        <v>0</v>
      </c>
      <c r="D264" s="26">
        <f>+[1]BS17A!$U1966</f>
        <v>948790</v>
      </c>
      <c r="E264" s="132">
        <f>+'ENERO '!E264+FEBRERO!E264+MARZO!E264+ABRIL!E264+MAYO!E264+JUNIO!E264+JULIO!E264+AGOSTO!E264+SEPTIEMBRE!E264+OCTUBRE!E264+NOVIEMBRE!E264+DICIEMBRE!E264</f>
        <v>0</v>
      </c>
      <c r="F264" s="21"/>
      <c r="G264" s="511">
        <f t="shared" si="17"/>
        <v>0</v>
      </c>
      <c r="H264" s="511">
        <f t="shared" si="18"/>
        <v>0</v>
      </c>
      <c r="I264" s="511">
        <f t="shared" si="19"/>
        <v>0</v>
      </c>
      <c r="J264" s="515">
        <f t="shared" si="20"/>
        <v>0</v>
      </c>
    </row>
    <row r="265" spans="1:10" ht="15" customHeight="1" x14ac:dyDescent="0.25">
      <c r="A265" s="180" t="s">
        <v>388</v>
      </c>
      <c r="B265" s="194" t="s">
        <v>389</v>
      </c>
      <c r="C265" s="132">
        <f>+'ENERO '!C265+FEBRERO!C265+MARZO!C265+ABRIL!C265+MAYO!C265+JUNIO!C265+JULIO!C265+AGOSTO!C265+SEPTIEMBRE!C265+OCTUBRE!C265+NOVIEMBRE!C265+DICIEMBRE!C265</f>
        <v>0</v>
      </c>
      <c r="D265" s="26">
        <f>+[1]BS17A!$U1967</f>
        <v>374290</v>
      </c>
      <c r="E265" s="132">
        <f>+'ENERO '!E265+FEBRERO!E265+MARZO!E265+ABRIL!E265+MAYO!E265+JUNIO!E265+JULIO!E265+AGOSTO!E265+SEPTIEMBRE!E265+OCTUBRE!E265+NOVIEMBRE!E265+DICIEMBRE!E265</f>
        <v>0</v>
      </c>
      <c r="F265" s="21"/>
      <c r="G265" s="511">
        <f t="shared" si="17"/>
        <v>0</v>
      </c>
      <c r="H265" s="511">
        <f t="shared" si="18"/>
        <v>0</v>
      </c>
      <c r="I265" s="511">
        <f t="shared" si="19"/>
        <v>0</v>
      </c>
      <c r="J265" s="515">
        <f t="shared" si="20"/>
        <v>0</v>
      </c>
    </row>
    <row r="266" spans="1:10" ht="15" customHeight="1" x14ac:dyDescent="0.25">
      <c r="A266" s="180" t="s">
        <v>390</v>
      </c>
      <c r="B266" s="194" t="s">
        <v>391</v>
      </c>
      <c r="C266" s="132">
        <f>+'ENERO '!C266+FEBRERO!C266+MARZO!C266+ABRIL!C266+MAYO!C266+JUNIO!C266+JULIO!C266+AGOSTO!C266+SEPTIEMBRE!C266+OCTUBRE!C266+NOVIEMBRE!C266+DICIEMBRE!C266</f>
        <v>0</v>
      </c>
      <c r="D266" s="26">
        <f>+[1]BS17A!$U1968</f>
        <v>89640</v>
      </c>
      <c r="E266" s="132">
        <f>+'ENERO '!E266+FEBRERO!E266+MARZO!E266+ABRIL!E266+MAYO!E266+JUNIO!E266+JULIO!E266+AGOSTO!E266+SEPTIEMBRE!E266+OCTUBRE!E266+NOVIEMBRE!E266+DICIEMBRE!E266</f>
        <v>0</v>
      </c>
      <c r="F266" s="21"/>
      <c r="G266" s="511">
        <f t="shared" si="17"/>
        <v>0</v>
      </c>
      <c r="H266" s="511">
        <f t="shared" si="18"/>
        <v>0</v>
      </c>
      <c r="I266" s="511">
        <f t="shared" si="19"/>
        <v>0</v>
      </c>
      <c r="J266" s="515">
        <f t="shared" si="20"/>
        <v>0</v>
      </c>
    </row>
    <row r="267" spans="1:10" ht="15" customHeight="1" x14ac:dyDescent="0.25">
      <c r="A267" s="180" t="s">
        <v>392</v>
      </c>
      <c r="B267" s="194" t="s">
        <v>393</v>
      </c>
      <c r="C267" s="132">
        <f>+'ENERO '!C267+FEBRERO!C267+MARZO!C267+ABRIL!C267+MAYO!C267+JUNIO!C267+JULIO!C267+AGOSTO!C267+SEPTIEMBRE!C267+OCTUBRE!C267+NOVIEMBRE!C267+DICIEMBRE!C267</f>
        <v>0</v>
      </c>
      <c r="D267" s="26">
        <f>+[1]BS17A!$U1969</f>
        <v>267430</v>
      </c>
      <c r="E267" s="132">
        <f>+'ENERO '!E267+FEBRERO!E267+MARZO!E267+ABRIL!E267+MAYO!E267+JUNIO!E267+JULIO!E267+AGOSTO!E267+SEPTIEMBRE!E267+OCTUBRE!E267+NOVIEMBRE!E267+DICIEMBRE!E267</f>
        <v>0</v>
      </c>
      <c r="F267" s="21"/>
      <c r="G267" s="511">
        <f t="shared" si="17"/>
        <v>0</v>
      </c>
      <c r="H267" s="511">
        <f t="shared" si="18"/>
        <v>0</v>
      </c>
      <c r="I267" s="511">
        <f t="shared" si="19"/>
        <v>0</v>
      </c>
      <c r="J267" s="515">
        <f t="shared" si="20"/>
        <v>0</v>
      </c>
    </row>
    <row r="268" spans="1:10" ht="15" customHeight="1" x14ac:dyDescent="0.25">
      <c r="A268" s="180" t="s">
        <v>394</v>
      </c>
      <c r="B268" s="177" t="s">
        <v>395</v>
      </c>
      <c r="C268" s="132">
        <f>+'ENERO '!C268+FEBRERO!C268+MARZO!C268+ABRIL!C268+MAYO!C268+JUNIO!C268+JULIO!C268+AGOSTO!C268+SEPTIEMBRE!C268+OCTUBRE!C268+NOVIEMBRE!C268+DICIEMBRE!C268</f>
        <v>0</v>
      </c>
      <c r="D268" s="26">
        <f>+[1]BS17A!$U1970</f>
        <v>75610</v>
      </c>
      <c r="E268" s="132">
        <f>+'ENERO '!E268+FEBRERO!E268+MARZO!E268+ABRIL!E268+MAYO!E268+JUNIO!E268+JULIO!E268+AGOSTO!E268+SEPTIEMBRE!E268+OCTUBRE!E268+NOVIEMBRE!E268+DICIEMBRE!E268</f>
        <v>0</v>
      </c>
      <c r="F268" s="21"/>
      <c r="G268" s="511">
        <f t="shared" si="17"/>
        <v>0</v>
      </c>
      <c r="H268" s="511">
        <f t="shared" si="18"/>
        <v>0</v>
      </c>
      <c r="I268" s="511">
        <f t="shared" si="19"/>
        <v>0</v>
      </c>
      <c r="J268" s="515">
        <f t="shared" si="20"/>
        <v>0</v>
      </c>
    </row>
    <row r="269" spans="1:10" ht="15" customHeight="1" x14ac:dyDescent="0.25">
      <c r="A269" s="180" t="s">
        <v>396</v>
      </c>
      <c r="B269" s="177" t="s">
        <v>397</v>
      </c>
      <c r="C269" s="132">
        <f>+'ENERO '!C269+FEBRERO!C269+MARZO!C269+ABRIL!C269+MAYO!C269+JUNIO!C269+JULIO!C269+AGOSTO!C269+SEPTIEMBRE!C269+OCTUBRE!C269+NOVIEMBRE!C269+DICIEMBRE!C269</f>
        <v>0</v>
      </c>
      <c r="D269" s="26">
        <f>+[1]BS17A!$U1971</f>
        <v>1299270</v>
      </c>
      <c r="E269" s="132">
        <f>+'ENERO '!E269+FEBRERO!E269+MARZO!E269+ABRIL!E269+MAYO!E269+JUNIO!E269+JULIO!E269+AGOSTO!E269+SEPTIEMBRE!E269+OCTUBRE!E269+NOVIEMBRE!E269+DICIEMBRE!E269</f>
        <v>0</v>
      </c>
      <c r="F269" s="21"/>
      <c r="G269" s="511">
        <f t="shared" si="17"/>
        <v>0</v>
      </c>
      <c r="H269" s="511">
        <f t="shared" si="18"/>
        <v>0</v>
      </c>
      <c r="I269" s="511">
        <f t="shared" si="19"/>
        <v>0</v>
      </c>
      <c r="J269" s="515">
        <f t="shared" si="20"/>
        <v>0</v>
      </c>
    </row>
    <row r="270" spans="1:10" ht="15" customHeight="1" x14ac:dyDescent="0.25">
      <c r="A270" s="180" t="s">
        <v>398</v>
      </c>
      <c r="B270" s="177" t="s">
        <v>399</v>
      </c>
      <c r="C270" s="132">
        <f>+'ENERO '!C270+FEBRERO!C270+MARZO!C270+ABRIL!C270+MAYO!C270+JUNIO!C270+JULIO!C270+AGOSTO!C270+SEPTIEMBRE!C270+OCTUBRE!C270+NOVIEMBRE!C270+DICIEMBRE!C270</f>
        <v>0</v>
      </c>
      <c r="D270" s="26">
        <f>+[1]BS17A!$U1972</f>
        <v>303800</v>
      </c>
      <c r="E270" s="132">
        <f>+'ENERO '!E270+FEBRERO!E270+MARZO!E270+ABRIL!E270+MAYO!E270+JUNIO!E270+JULIO!E270+AGOSTO!E270+SEPTIEMBRE!E270+OCTUBRE!E270+NOVIEMBRE!E270+DICIEMBRE!E270</f>
        <v>0</v>
      </c>
      <c r="F270" s="21"/>
      <c r="G270" s="511">
        <f t="shared" si="17"/>
        <v>0</v>
      </c>
      <c r="H270" s="511">
        <f t="shared" si="18"/>
        <v>0</v>
      </c>
      <c r="I270" s="511">
        <f t="shared" si="19"/>
        <v>0</v>
      </c>
      <c r="J270" s="515">
        <f t="shared" si="20"/>
        <v>0</v>
      </c>
    </row>
    <row r="271" spans="1:10" ht="15" customHeight="1" x14ac:dyDescent="0.25">
      <c r="A271" s="180" t="s">
        <v>400</v>
      </c>
      <c r="B271" s="177" t="s">
        <v>401</v>
      </c>
      <c r="C271" s="132">
        <f>+'ENERO '!C271+FEBRERO!C271+MARZO!C271+ABRIL!C271+MAYO!C271+JUNIO!C271+JULIO!C271+AGOSTO!C271+SEPTIEMBRE!C271+OCTUBRE!C271+NOVIEMBRE!C271+DICIEMBRE!C271</f>
        <v>0</v>
      </c>
      <c r="D271" s="26">
        <f>+[1]BS17A!$U1973</f>
        <v>1017740</v>
      </c>
      <c r="E271" s="132">
        <f>+'ENERO '!E271+FEBRERO!E271+MARZO!E271+ABRIL!E271+MAYO!E271+JUNIO!E271+JULIO!E271+AGOSTO!E271+SEPTIEMBRE!E271+OCTUBRE!E271+NOVIEMBRE!E271+DICIEMBRE!E271</f>
        <v>0</v>
      </c>
      <c r="F271" s="21"/>
      <c r="G271" s="511">
        <f t="shared" si="17"/>
        <v>0</v>
      </c>
      <c r="H271" s="511">
        <f t="shared" si="18"/>
        <v>0</v>
      </c>
      <c r="I271" s="511">
        <f t="shared" si="19"/>
        <v>0</v>
      </c>
      <c r="J271" s="515">
        <f t="shared" si="20"/>
        <v>0</v>
      </c>
    </row>
    <row r="272" spans="1:10" ht="15" customHeight="1" x14ac:dyDescent="0.25">
      <c r="A272" s="180" t="s">
        <v>402</v>
      </c>
      <c r="B272" s="195" t="s">
        <v>403</v>
      </c>
      <c r="C272" s="132">
        <f>+'ENERO '!C272+FEBRERO!C272+MARZO!C272+ABRIL!C272+MAYO!C272+JUNIO!C272+JULIO!C272+AGOSTO!C272+SEPTIEMBRE!C272+OCTUBRE!C272+NOVIEMBRE!C272+DICIEMBRE!C272</f>
        <v>0</v>
      </c>
      <c r="D272" s="26">
        <f>+[1]BS17A!$U1974</f>
        <v>623060</v>
      </c>
      <c r="E272" s="132">
        <f>+'ENERO '!E272+FEBRERO!E272+MARZO!E272+ABRIL!E272+MAYO!E272+JUNIO!E272+JULIO!E272+AGOSTO!E272+SEPTIEMBRE!E272+OCTUBRE!E272+NOVIEMBRE!E272+DICIEMBRE!E272</f>
        <v>0</v>
      </c>
      <c r="F272" s="21"/>
      <c r="G272" s="511">
        <f t="shared" si="17"/>
        <v>0</v>
      </c>
      <c r="H272" s="511">
        <f t="shared" si="18"/>
        <v>0</v>
      </c>
      <c r="I272" s="511">
        <f t="shared" si="19"/>
        <v>0</v>
      </c>
      <c r="J272" s="515">
        <f t="shared" si="20"/>
        <v>0</v>
      </c>
    </row>
    <row r="273" spans="1:19" ht="15" customHeight="1" x14ac:dyDescent="0.25">
      <c r="A273" s="181" t="s">
        <v>404</v>
      </c>
      <c r="B273" s="195" t="s">
        <v>405</v>
      </c>
      <c r="C273" s="132">
        <f>+'ENERO '!C273+FEBRERO!C273+MARZO!C273+ABRIL!C273+MAYO!C273+JUNIO!C273+JULIO!C273+AGOSTO!C273+SEPTIEMBRE!C273+OCTUBRE!C273+NOVIEMBRE!C273+DICIEMBRE!C273</f>
        <v>0</v>
      </c>
      <c r="D273" s="28">
        <f>+[1]BS17A!$U1975</f>
        <v>508460</v>
      </c>
      <c r="E273" s="132">
        <f>+'ENERO '!E273+FEBRERO!E273+MARZO!E273+ABRIL!E273+MAYO!E273+JUNIO!E273+JULIO!E273+AGOSTO!E273+SEPTIEMBRE!E273+OCTUBRE!E273+NOVIEMBRE!E273+DICIEMBRE!E273</f>
        <v>0</v>
      </c>
      <c r="F273" s="21"/>
      <c r="G273" s="511">
        <f t="shared" ref="G273:G316" si="21">+E273/7</f>
        <v>0</v>
      </c>
      <c r="H273" s="511">
        <f t="shared" ref="H273:H313" si="22">+G273*12</f>
        <v>0</v>
      </c>
      <c r="I273" s="511">
        <f t="shared" ref="I273:I312" si="23">+H273*10%</f>
        <v>0</v>
      </c>
      <c r="J273" s="515">
        <f t="shared" ref="J273:J312" si="24">+I273+H273</f>
        <v>0</v>
      </c>
    </row>
    <row r="274" spans="1:19" ht="15" customHeight="1" x14ac:dyDescent="0.25">
      <c r="A274" s="552" t="s">
        <v>406</v>
      </c>
      <c r="B274" s="553"/>
      <c r="C274" s="553"/>
      <c r="D274" s="553"/>
      <c r="E274" s="554"/>
      <c r="F274" s="21"/>
      <c r="G274" s="511">
        <f t="shared" si="21"/>
        <v>0</v>
      </c>
      <c r="H274" s="511">
        <f t="shared" si="22"/>
        <v>0</v>
      </c>
      <c r="I274" s="511">
        <f t="shared" si="23"/>
        <v>0</v>
      </c>
      <c r="J274" s="515">
        <f t="shared" si="24"/>
        <v>0</v>
      </c>
    </row>
    <row r="275" spans="1:19" ht="15" customHeight="1" x14ac:dyDescent="0.25">
      <c r="A275" s="179" t="s">
        <v>407</v>
      </c>
      <c r="B275" s="188" t="s">
        <v>408</v>
      </c>
      <c r="C275" s="132">
        <f>+'ENERO '!C275+FEBRERO!C275+MARZO!C275+ABRIL!C275+MAYO!C275+JUNIO!C275+JULIO!C275+AGOSTO!C275+SEPTIEMBRE!C275+OCTUBRE!C275+NOVIEMBRE!C275+DICIEMBRE!C275</f>
        <v>0</v>
      </c>
      <c r="D275" s="23">
        <f>[1]BS17A!U1976</f>
        <v>274090</v>
      </c>
      <c r="E275" s="132">
        <f>+'ENERO '!E275+FEBRERO!E275+MARZO!E275+ABRIL!E275+MAYO!E275+JUNIO!E275+JULIO!E275+AGOSTO!E275+SEPTIEMBRE!E275+OCTUBRE!E275+NOVIEMBRE!E275+DICIEMBRE!E275</f>
        <v>0</v>
      </c>
      <c r="F275" s="21"/>
      <c r="G275" s="511">
        <f t="shared" si="21"/>
        <v>0</v>
      </c>
      <c r="H275" s="511">
        <f t="shared" si="22"/>
        <v>0</v>
      </c>
      <c r="I275" s="511">
        <f t="shared" si="23"/>
        <v>0</v>
      </c>
      <c r="J275" s="515">
        <f t="shared" si="24"/>
        <v>0</v>
      </c>
    </row>
    <row r="276" spans="1:19" ht="15" customHeight="1" x14ac:dyDescent="0.25">
      <c r="A276" s="180" t="s">
        <v>409</v>
      </c>
      <c r="B276" s="177" t="s">
        <v>410</v>
      </c>
      <c r="C276" s="132">
        <f>+'ENERO '!C276+FEBRERO!C276+MARZO!C276+ABRIL!C276+MAYO!C276+JUNIO!C276+JULIO!C276+AGOSTO!C276+SEPTIEMBRE!C276+OCTUBRE!C276+NOVIEMBRE!C276+DICIEMBRE!C276</f>
        <v>0</v>
      </c>
      <c r="D276" s="26">
        <f>[1]BS17A!U1977</f>
        <v>159800</v>
      </c>
      <c r="E276" s="132">
        <f>+'ENERO '!E276+FEBRERO!E276+MARZO!E276+ABRIL!E276+MAYO!E276+JUNIO!E276+JULIO!E276+AGOSTO!E276+SEPTIEMBRE!E276+OCTUBRE!E276+NOVIEMBRE!E276+DICIEMBRE!E276</f>
        <v>0</v>
      </c>
      <c r="F276" s="21"/>
      <c r="G276" s="511">
        <f t="shared" si="21"/>
        <v>0</v>
      </c>
      <c r="H276" s="511">
        <f t="shared" si="22"/>
        <v>0</v>
      </c>
      <c r="I276" s="511">
        <f t="shared" si="23"/>
        <v>0</v>
      </c>
      <c r="J276" s="515">
        <f t="shared" si="24"/>
        <v>0</v>
      </c>
    </row>
    <row r="277" spans="1:19" ht="15" customHeight="1" x14ac:dyDescent="0.25">
      <c r="A277" s="180" t="s">
        <v>411</v>
      </c>
      <c r="B277" s="177" t="s">
        <v>412</v>
      </c>
      <c r="C277" s="132">
        <f>+'ENERO '!C277+FEBRERO!C277+MARZO!C277+ABRIL!C277+MAYO!C277+JUNIO!C277+JULIO!C277+AGOSTO!C277+SEPTIEMBRE!C277+OCTUBRE!C277+NOVIEMBRE!C277+DICIEMBRE!C277</f>
        <v>0</v>
      </c>
      <c r="D277" s="26">
        <f>[1]BS17A!U1978</f>
        <v>386120</v>
      </c>
      <c r="E277" s="132">
        <f>+'ENERO '!E277+FEBRERO!E277+MARZO!E277+ABRIL!E277+MAYO!E277+JUNIO!E277+JULIO!E277+AGOSTO!E277+SEPTIEMBRE!E277+OCTUBRE!E277+NOVIEMBRE!E277+DICIEMBRE!E277</f>
        <v>0</v>
      </c>
      <c r="F277" s="21"/>
      <c r="G277" s="511">
        <f t="shared" si="21"/>
        <v>0</v>
      </c>
      <c r="H277" s="511">
        <f t="shared" si="22"/>
        <v>0</v>
      </c>
      <c r="I277" s="511">
        <f t="shared" si="23"/>
        <v>0</v>
      </c>
      <c r="J277" s="515">
        <f t="shared" si="24"/>
        <v>0</v>
      </c>
    </row>
    <row r="278" spans="1:19" ht="15" customHeight="1" x14ac:dyDescent="0.25">
      <c r="A278" s="180" t="s">
        <v>413</v>
      </c>
      <c r="B278" s="177" t="s">
        <v>414</v>
      </c>
      <c r="C278" s="132">
        <f>+'ENERO '!C278+FEBRERO!C278+MARZO!C278+ABRIL!C278+MAYO!C278+JUNIO!C278+JULIO!C278+AGOSTO!C278+SEPTIEMBRE!C278+OCTUBRE!C278+NOVIEMBRE!C278+DICIEMBRE!C278</f>
        <v>0</v>
      </c>
      <c r="D278" s="26">
        <f>[1]BS17A!U1979</f>
        <v>400140</v>
      </c>
      <c r="E278" s="132">
        <f>+'ENERO '!E278+FEBRERO!E278+MARZO!E278+ABRIL!E278+MAYO!E278+JUNIO!E278+JULIO!E278+AGOSTO!E278+SEPTIEMBRE!E278+OCTUBRE!E278+NOVIEMBRE!E278+DICIEMBRE!E278</f>
        <v>0</v>
      </c>
      <c r="F278" s="21"/>
      <c r="G278" s="511">
        <f t="shared" si="21"/>
        <v>0</v>
      </c>
      <c r="H278" s="511">
        <f t="shared" si="22"/>
        <v>0</v>
      </c>
      <c r="I278" s="511">
        <f t="shared" si="23"/>
        <v>0</v>
      </c>
      <c r="J278" s="515">
        <f t="shared" si="24"/>
        <v>0</v>
      </c>
    </row>
    <row r="279" spans="1:19" ht="15" customHeight="1" x14ac:dyDescent="0.25">
      <c r="A279" s="181" t="s">
        <v>415</v>
      </c>
      <c r="B279" s="189" t="s">
        <v>416</v>
      </c>
      <c r="C279" s="132">
        <f>+'ENERO '!C279+FEBRERO!C279+MARZO!C279+ABRIL!C279+MAYO!C279+JUNIO!C279+JULIO!C279+AGOSTO!C279+SEPTIEMBRE!C279+OCTUBRE!C279+NOVIEMBRE!C279+DICIEMBRE!C279</f>
        <v>0</v>
      </c>
      <c r="D279" s="33">
        <f>[1]BS17A!U1980</f>
        <v>250030</v>
      </c>
      <c r="E279" s="132">
        <f>+'ENERO '!E279+FEBRERO!E279+MARZO!E279+ABRIL!E279+MAYO!E279+JUNIO!E279+JULIO!E279+AGOSTO!E279+SEPTIEMBRE!E279+OCTUBRE!E279+NOVIEMBRE!E279+DICIEMBRE!E279</f>
        <v>0</v>
      </c>
      <c r="F279" s="122"/>
      <c r="G279" s="511">
        <f t="shared" si="21"/>
        <v>0</v>
      </c>
      <c r="H279" s="511">
        <f t="shared" si="22"/>
        <v>0</v>
      </c>
      <c r="I279" s="511">
        <f t="shared" si="23"/>
        <v>0</v>
      </c>
      <c r="J279" s="515">
        <f t="shared" si="24"/>
        <v>0</v>
      </c>
    </row>
    <row r="280" spans="1:19" ht="15" customHeight="1" x14ac:dyDescent="0.25">
      <c r="A280" s="192" t="s">
        <v>417</v>
      </c>
      <c r="B280" s="190" t="s">
        <v>418</v>
      </c>
      <c r="C280" s="132">
        <f>+'ENERO '!C280+FEBRERO!C280+MARZO!C280+ABRIL!C280+MAYO!C280+JUNIO!C280+JULIO!C280+AGOSTO!C280+SEPTIEMBRE!C280+OCTUBRE!C280+NOVIEMBRE!C280+DICIEMBRE!C280</f>
        <v>1179</v>
      </c>
      <c r="D280" s="123">
        <f>[1]BS17A!U1981</f>
        <v>34000</v>
      </c>
      <c r="E280" s="132">
        <f>+'ENERO '!E280+FEBRERO!E280+MARZO!E280+ABRIL!E280+MAYO!E280+JUNIO!E280+JULIO!E280+AGOSTO!E280+SEPTIEMBRE!E280+OCTUBRE!E280+NOVIEMBRE!E280+DICIEMBRE!E280</f>
        <v>41017260</v>
      </c>
      <c r="F280" s="122"/>
      <c r="G280" s="511">
        <f t="shared" si="21"/>
        <v>5859608.5714285718</v>
      </c>
      <c r="H280" s="511">
        <f t="shared" si="22"/>
        <v>70315302.857142866</v>
      </c>
      <c r="I280" s="511">
        <f t="shared" si="23"/>
        <v>7031530.2857142873</v>
      </c>
      <c r="J280" s="515">
        <f t="shared" si="24"/>
        <v>77346833.142857149</v>
      </c>
      <c r="S280" s="511">
        <v>31001540</v>
      </c>
    </row>
    <row r="281" spans="1:19" ht="15" customHeight="1" x14ac:dyDescent="0.25">
      <c r="A281" s="187"/>
      <c r="B281" s="191" t="s">
        <v>419</v>
      </c>
      <c r="C281" s="132">
        <f>+'ENERO '!C281+FEBRERO!C281+MARZO!C281+ABRIL!C281+MAYO!C281+JUNIO!C281+JULIO!C281+AGOSTO!C281+SEPTIEMBRE!C281+OCTUBRE!C281+NOVIEMBRE!C281+DICIEMBRE!C281</f>
        <v>1179</v>
      </c>
      <c r="D281" s="100"/>
      <c r="E281" s="101">
        <f>SUM(E241:E280)</f>
        <v>41017260</v>
      </c>
      <c r="F281" s="122"/>
      <c r="G281" s="511">
        <f t="shared" si="21"/>
        <v>5859608.5714285718</v>
      </c>
      <c r="H281" s="511">
        <f t="shared" si="22"/>
        <v>70315302.857142866</v>
      </c>
      <c r="I281" s="511">
        <f t="shared" si="23"/>
        <v>7031530.2857142873</v>
      </c>
      <c r="J281" s="515">
        <f t="shared" si="24"/>
        <v>77346833.142857149</v>
      </c>
      <c r="S281" s="511">
        <v>31001540</v>
      </c>
    </row>
    <row r="282" spans="1:19" ht="18" customHeight="1" x14ac:dyDescent="0.25">
      <c r="A282" s="114"/>
      <c r="B282" s="21"/>
      <c r="C282" s="21"/>
      <c r="D282" s="114"/>
      <c r="E282" s="114"/>
      <c r="F282" s="21"/>
      <c r="G282" s="511">
        <f t="shared" si="21"/>
        <v>0</v>
      </c>
      <c r="H282" s="511">
        <f t="shared" si="22"/>
        <v>0</v>
      </c>
      <c r="I282" s="511">
        <f t="shared" si="23"/>
        <v>0</v>
      </c>
      <c r="J282" s="515">
        <f t="shared" si="24"/>
        <v>0</v>
      </c>
    </row>
    <row r="283" spans="1:19" ht="18" customHeight="1" x14ac:dyDescent="0.25">
      <c r="A283" s="114"/>
      <c r="B283" s="116"/>
      <c r="C283" s="116"/>
      <c r="D283" s="114"/>
      <c r="E283" s="114"/>
      <c r="F283" s="124"/>
      <c r="G283" s="511">
        <f t="shared" si="21"/>
        <v>0</v>
      </c>
      <c r="H283" s="511">
        <f t="shared" si="22"/>
        <v>0</v>
      </c>
      <c r="I283" s="511">
        <f t="shared" si="23"/>
        <v>0</v>
      </c>
      <c r="J283" s="515">
        <f t="shared" si="24"/>
        <v>0</v>
      </c>
    </row>
    <row r="284" spans="1:19" ht="12.75" customHeight="1" x14ac:dyDescent="0.25">
      <c r="A284" s="557" t="s">
        <v>420</v>
      </c>
      <c r="B284" s="558"/>
      <c r="C284" s="558"/>
      <c r="D284" s="558"/>
      <c r="E284" s="559"/>
      <c r="F284" s="21"/>
      <c r="G284" s="511">
        <f t="shared" si="21"/>
        <v>0</v>
      </c>
      <c r="H284" s="511">
        <f t="shared" si="22"/>
        <v>0</v>
      </c>
      <c r="I284" s="511">
        <f t="shared" si="23"/>
        <v>0</v>
      </c>
      <c r="J284" s="515">
        <f t="shared" si="24"/>
        <v>0</v>
      </c>
    </row>
    <row r="285" spans="1:19" ht="44.25" customHeight="1" x14ac:dyDescent="0.25">
      <c r="A285" s="1" t="s">
        <v>8</v>
      </c>
      <c r="B285" s="1" t="s">
        <v>420</v>
      </c>
      <c r="C285" s="227" t="s">
        <v>341</v>
      </c>
      <c r="D285" s="3" t="s">
        <v>11</v>
      </c>
      <c r="E285" s="229" t="s">
        <v>12</v>
      </c>
      <c r="F285" s="122"/>
    </row>
    <row r="286" spans="1:19" ht="15" customHeight="1" x14ac:dyDescent="0.25">
      <c r="A286" s="179" t="s">
        <v>421</v>
      </c>
      <c r="B286" s="183" t="s">
        <v>422</v>
      </c>
      <c r="C286" s="132">
        <f>+'ENERO '!C286+FEBRERO!C286+MARZO!C286+ABRIL!C286+MAYO!C286+JUNIO!C286+JULIO!C286+AGOSTO!C286+SEPTIEMBRE!C286+OCTUBRE!C286+NOVIEMBRE!C286+DICIEMBRE!C286</f>
        <v>67</v>
      </c>
      <c r="D286" s="31">
        <f>+[1]BS17A!$U1983</f>
        <v>6690</v>
      </c>
      <c r="E286" s="132">
        <f>+'ENERO '!E286+FEBRERO!E286+MARZO!E286+ABRIL!E286+MAYO!E286+JUNIO!E286+JULIO!E286+AGOSTO!E286+SEPTIEMBRE!E286+OCTUBRE!E286+NOVIEMBRE!E286+DICIEMBRE!E286</f>
        <v>456830</v>
      </c>
      <c r="F286" s="21"/>
      <c r="G286" s="511">
        <f t="shared" si="21"/>
        <v>65261.428571428572</v>
      </c>
      <c r="H286" s="511">
        <f t="shared" si="22"/>
        <v>783137.14285714284</v>
      </c>
      <c r="I286" s="511">
        <f t="shared" si="23"/>
        <v>78313.71428571429</v>
      </c>
      <c r="J286" s="515">
        <f t="shared" si="24"/>
        <v>861450.85714285716</v>
      </c>
      <c r="S286" s="511">
        <v>387930</v>
      </c>
    </row>
    <row r="287" spans="1:19" ht="15" customHeight="1" x14ac:dyDescent="0.25">
      <c r="A287" s="180" t="s">
        <v>423</v>
      </c>
      <c r="B287" s="184" t="s">
        <v>424</v>
      </c>
      <c r="C287" s="132">
        <f>+'ENERO '!C287+FEBRERO!C287+MARZO!C287+ABRIL!C287+MAYO!C287+JUNIO!C287+JULIO!C287+AGOSTO!C287+SEPTIEMBRE!C287+OCTUBRE!C287+NOVIEMBRE!C287+DICIEMBRE!C287</f>
        <v>0</v>
      </c>
      <c r="D287" s="26">
        <f>+[1]BS17A!$U1984</f>
        <v>3560</v>
      </c>
      <c r="E287" s="132">
        <f>+'ENERO '!E287+FEBRERO!E287+MARZO!E287+ABRIL!E287+MAYO!E287+JUNIO!E287+JULIO!E287+AGOSTO!E287+SEPTIEMBRE!E287+OCTUBRE!E287+NOVIEMBRE!E287+DICIEMBRE!E287</f>
        <v>0</v>
      </c>
      <c r="F287" s="21"/>
      <c r="G287" s="511">
        <f t="shared" si="21"/>
        <v>0</v>
      </c>
      <c r="H287" s="511">
        <f t="shared" si="22"/>
        <v>0</v>
      </c>
      <c r="I287" s="511">
        <f t="shared" si="23"/>
        <v>0</v>
      </c>
      <c r="J287" s="515">
        <f t="shared" si="24"/>
        <v>0</v>
      </c>
      <c r="S287" s="511">
        <v>0</v>
      </c>
    </row>
    <row r="288" spans="1:19" ht="15" customHeight="1" x14ac:dyDescent="0.25">
      <c r="A288" s="180" t="s">
        <v>425</v>
      </c>
      <c r="B288" s="184" t="s">
        <v>426</v>
      </c>
      <c r="C288" s="132">
        <f>+'ENERO '!C288+FEBRERO!C288+MARZO!C288+ABRIL!C288+MAYO!C288+JUNIO!C288+JULIO!C288+AGOSTO!C288+SEPTIEMBRE!C288+OCTUBRE!C288+NOVIEMBRE!C288+DICIEMBRE!C288</f>
        <v>8</v>
      </c>
      <c r="D288" s="26">
        <f>+[1]BS17A!$U1985</f>
        <v>13430</v>
      </c>
      <c r="E288" s="132">
        <f>+'ENERO '!E288+FEBRERO!E288+MARZO!E288+ABRIL!E288+MAYO!E288+JUNIO!E288+JULIO!E288+AGOSTO!E288+SEPTIEMBRE!E288+OCTUBRE!E288+NOVIEMBRE!E288+DICIEMBRE!E288</f>
        <v>109840</v>
      </c>
      <c r="F288" s="21"/>
      <c r="G288" s="511">
        <f t="shared" si="21"/>
        <v>15691.428571428571</v>
      </c>
      <c r="H288" s="511">
        <f t="shared" si="22"/>
        <v>188297.14285714284</v>
      </c>
      <c r="I288" s="511">
        <f t="shared" si="23"/>
        <v>18829.714285714286</v>
      </c>
      <c r="J288" s="515">
        <f t="shared" si="24"/>
        <v>207126.85714285713</v>
      </c>
      <c r="S288" s="511">
        <v>109840</v>
      </c>
    </row>
    <row r="289" spans="1:19" ht="15" customHeight="1" x14ac:dyDescent="0.25">
      <c r="A289" s="180" t="s">
        <v>427</v>
      </c>
      <c r="B289" s="184" t="s">
        <v>428</v>
      </c>
      <c r="C289" s="132">
        <f>+'ENERO '!C289+FEBRERO!C289+MARZO!C289+ABRIL!C289+MAYO!C289+JUNIO!C289+JULIO!C289+AGOSTO!C289+SEPTIEMBRE!C289+OCTUBRE!C289+NOVIEMBRE!C289+DICIEMBRE!C289</f>
        <v>0</v>
      </c>
      <c r="D289" s="26">
        <f>+[1]BS17A!$U1986</f>
        <v>137660</v>
      </c>
      <c r="E289" s="132">
        <f>+'ENERO '!E289+FEBRERO!E289+MARZO!E289+ABRIL!E289+MAYO!E289+JUNIO!E289+JULIO!E289+AGOSTO!E289+SEPTIEMBRE!E289+OCTUBRE!E289+NOVIEMBRE!E289+DICIEMBRE!E289</f>
        <v>0</v>
      </c>
      <c r="F289" s="21"/>
      <c r="G289" s="511">
        <f t="shared" si="21"/>
        <v>0</v>
      </c>
      <c r="H289" s="511">
        <f t="shared" si="22"/>
        <v>0</v>
      </c>
      <c r="I289" s="511">
        <f t="shared" si="23"/>
        <v>0</v>
      </c>
      <c r="J289" s="515">
        <f t="shared" si="24"/>
        <v>0</v>
      </c>
      <c r="S289" s="511">
        <v>0</v>
      </c>
    </row>
    <row r="290" spans="1:19" ht="15" customHeight="1" x14ac:dyDescent="0.25">
      <c r="A290" s="181" t="s">
        <v>429</v>
      </c>
      <c r="B290" s="185" t="s">
        <v>430</v>
      </c>
      <c r="C290" s="132">
        <f>+'ENERO '!C290+FEBRERO!C290+MARZO!C290+ABRIL!C290+MAYO!C290+JUNIO!C290+JULIO!C290+AGOSTO!C290+SEPTIEMBRE!C290+OCTUBRE!C290+NOVIEMBRE!C290+DICIEMBRE!C290</f>
        <v>12</v>
      </c>
      <c r="D290" s="33">
        <f>+[1]BS17A!$U1987</f>
        <v>756090</v>
      </c>
      <c r="E290" s="132">
        <f>+'ENERO '!E290+FEBRERO!E290+MARZO!E290+ABRIL!E290+MAYO!E290+JUNIO!E290+JULIO!E290+AGOSTO!E290+SEPTIEMBRE!E290+OCTUBRE!E290+NOVIEMBRE!E290+DICIEMBRE!E290</f>
        <v>9277200</v>
      </c>
      <c r="F290" s="21"/>
      <c r="G290" s="511">
        <f t="shared" si="21"/>
        <v>1325314.2857142857</v>
      </c>
      <c r="H290" s="511">
        <f t="shared" si="22"/>
        <v>15903771.428571429</v>
      </c>
      <c r="I290" s="511">
        <f t="shared" si="23"/>
        <v>1590377.142857143</v>
      </c>
      <c r="J290" s="515">
        <f t="shared" si="24"/>
        <v>17494148.571428571</v>
      </c>
      <c r="S290" s="511">
        <v>6940890</v>
      </c>
    </row>
    <row r="291" spans="1:19" ht="15" customHeight="1" x14ac:dyDescent="0.25">
      <c r="A291" s="187"/>
      <c r="B291" s="186" t="s">
        <v>431</v>
      </c>
      <c r="C291" s="132">
        <f>+'ENERO '!C291+FEBRERO!C291+MARZO!C291+ABRIL!C291+MAYO!C291+JUNIO!C291+JULIO!C291+AGOSTO!C291+SEPTIEMBRE!C291+OCTUBRE!C291+NOVIEMBRE!C291+DICIEMBRE!C291</f>
        <v>87</v>
      </c>
      <c r="D291" s="44"/>
      <c r="E291" s="69">
        <f>SUM(E286:E290)</f>
        <v>9843870</v>
      </c>
      <c r="F291" s="21"/>
      <c r="G291" s="511">
        <f t="shared" si="21"/>
        <v>1406267.142857143</v>
      </c>
      <c r="H291" s="511">
        <f t="shared" si="22"/>
        <v>16875205.714285716</v>
      </c>
      <c r="I291" s="511">
        <f t="shared" si="23"/>
        <v>1687520.5714285718</v>
      </c>
      <c r="J291" s="515">
        <f t="shared" si="24"/>
        <v>18562726.285714287</v>
      </c>
      <c r="S291" s="511">
        <v>7438660</v>
      </c>
    </row>
    <row r="292" spans="1:19" ht="18" customHeight="1" x14ac:dyDescent="0.25">
      <c r="A292" s="114"/>
      <c r="B292" s="116"/>
      <c r="C292" s="114"/>
      <c r="D292" s="114"/>
      <c r="E292" s="114"/>
      <c r="F292" s="21"/>
      <c r="G292" s="511">
        <f t="shared" si="21"/>
        <v>0</v>
      </c>
      <c r="H292" s="511">
        <f t="shared" si="22"/>
        <v>0</v>
      </c>
      <c r="I292" s="511">
        <f t="shared" si="23"/>
        <v>0</v>
      </c>
      <c r="J292" s="515">
        <f t="shared" si="24"/>
        <v>0</v>
      </c>
    </row>
    <row r="293" spans="1:19" ht="18" customHeight="1" x14ac:dyDescent="0.25">
      <c r="A293" s="114"/>
      <c r="B293" s="116"/>
      <c r="C293" s="114"/>
      <c r="D293" s="114"/>
      <c r="E293" s="114"/>
      <c r="F293" s="127"/>
      <c r="G293" s="511">
        <f t="shared" si="21"/>
        <v>0</v>
      </c>
      <c r="H293" s="511">
        <f t="shared" si="22"/>
        <v>0</v>
      </c>
      <c r="I293" s="511">
        <f t="shared" si="23"/>
        <v>0</v>
      </c>
      <c r="J293" s="515">
        <f t="shared" si="24"/>
        <v>0</v>
      </c>
    </row>
    <row r="294" spans="1:19" x14ac:dyDescent="0.25">
      <c r="A294" s="552" t="s">
        <v>432</v>
      </c>
      <c r="B294" s="553"/>
      <c r="C294" s="553"/>
      <c r="D294" s="553"/>
      <c r="E294" s="554"/>
      <c r="F294" s="128"/>
      <c r="G294" s="511">
        <f t="shared" si="21"/>
        <v>0</v>
      </c>
      <c r="H294" s="511">
        <f t="shared" si="22"/>
        <v>0</v>
      </c>
      <c r="I294" s="511">
        <f t="shared" si="23"/>
        <v>0</v>
      </c>
      <c r="J294" s="515">
        <f t="shared" si="24"/>
        <v>0</v>
      </c>
    </row>
    <row r="295" spans="1:19" ht="42.75" customHeight="1" x14ac:dyDescent="0.25">
      <c r="A295" s="1" t="s">
        <v>8</v>
      </c>
      <c r="B295" s="154" t="s">
        <v>432</v>
      </c>
      <c r="C295" s="8" t="s">
        <v>433</v>
      </c>
      <c r="D295" s="3" t="s">
        <v>11</v>
      </c>
      <c r="E295" s="229" t="s">
        <v>12</v>
      </c>
      <c r="F295" s="128"/>
    </row>
    <row r="296" spans="1:19" ht="15" customHeight="1" x14ac:dyDescent="0.25">
      <c r="A296" s="179" t="s">
        <v>434</v>
      </c>
      <c r="B296" s="175" t="s">
        <v>435</v>
      </c>
      <c r="C296" s="132">
        <f>+'ENERO '!C296+FEBRERO!C296+MARZO!C296+ABRIL!C296+MAYO!C296+JUNIO!C296+JULIO!C296+AGOSTO!C296+SEPTIEMBRE!C296+OCTUBRE!C296+NOVIEMBRE!C296+DICIEMBRE!C296</f>
        <v>2435</v>
      </c>
      <c r="D296" s="31">
        <f>+[1]BS17A!$U1863</f>
        <v>17890</v>
      </c>
      <c r="E296" s="132">
        <f>+'ENERO '!E296+FEBRERO!E296+MARZO!E296+ABRIL!E296+MAYO!E296+JUNIO!E296+JULIO!E296+AGOSTO!E296+SEPTIEMBRE!E296+OCTUBRE!E296+NOVIEMBRE!E296+DICIEMBRE!E296</f>
        <v>44500130</v>
      </c>
      <c r="F296" s="21"/>
      <c r="G296" s="511">
        <f t="shared" si="21"/>
        <v>6357161.4285714282</v>
      </c>
      <c r="H296" s="511">
        <f t="shared" si="22"/>
        <v>76285937.142857134</v>
      </c>
      <c r="I296" s="511">
        <f t="shared" si="23"/>
        <v>7628593.7142857136</v>
      </c>
      <c r="J296" s="515">
        <f t="shared" si="24"/>
        <v>83914530.857142851</v>
      </c>
      <c r="S296" s="511">
        <v>33036670</v>
      </c>
    </row>
    <row r="297" spans="1:19" ht="15" customHeight="1" x14ac:dyDescent="0.25">
      <c r="A297" s="180" t="s">
        <v>436</v>
      </c>
      <c r="B297" s="176" t="s">
        <v>437</v>
      </c>
      <c r="C297" s="132">
        <f>+'ENERO '!C297+FEBRERO!C297+MARZO!C297+ABRIL!C297+MAYO!C297+JUNIO!C297+JULIO!C297+AGOSTO!C297+SEPTIEMBRE!C297+OCTUBRE!C297+NOVIEMBRE!C297+DICIEMBRE!C297</f>
        <v>2100</v>
      </c>
      <c r="D297" s="26">
        <f>+[1]BS17A!$U1864</f>
        <v>56280</v>
      </c>
      <c r="E297" s="132">
        <f>+'ENERO '!E297+FEBRERO!E297+MARZO!E297+ABRIL!E297+MAYO!E297+JUNIO!E297+JULIO!E297+AGOSTO!E297+SEPTIEMBRE!E297+OCTUBRE!E297+NOVIEMBRE!E297+DICIEMBRE!E297</f>
        <v>120810880</v>
      </c>
      <c r="F297" s="21"/>
      <c r="G297" s="511">
        <f t="shared" si="21"/>
        <v>17258697.142857142</v>
      </c>
      <c r="H297" s="511">
        <f t="shared" si="22"/>
        <v>207104365.7142857</v>
      </c>
      <c r="I297" s="511">
        <f t="shared" si="23"/>
        <v>20710436.571428571</v>
      </c>
      <c r="J297" s="515">
        <f t="shared" si="24"/>
        <v>227814802.28571427</v>
      </c>
      <c r="S297" s="511">
        <v>88347680</v>
      </c>
    </row>
    <row r="298" spans="1:19" ht="15" customHeight="1" x14ac:dyDescent="0.25">
      <c r="A298" s="180" t="s">
        <v>438</v>
      </c>
      <c r="B298" s="176" t="s">
        <v>439</v>
      </c>
      <c r="C298" s="132">
        <f>+'ENERO '!C298+FEBRERO!C298+MARZO!C298+ABRIL!C298+MAYO!C298+JUNIO!C298+JULIO!C298+AGOSTO!C298+SEPTIEMBRE!C298+OCTUBRE!C298+NOVIEMBRE!C298+DICIEMBRE!C298</f>
        <v>0</v>
      </c>
      <c r="D298" s="26">
        <f>+[1]BS17A!$U1865</f>
        <v>69770</v>
      </c>
      <c r="E298" s="132">
        <f>+'ENERO '!E298+FEBRERO!E298+MARZO!E298+ABRIL!E298+MAYO!E298+JUNIO!E298+JULIO!E298+AGOSTO!E298+SEPTIEMBRE!E298+OCTUBRE!E298+NOVIEMBRE!E298+DICIEMBRE!E298</f>
        <v>0</v>
      </c>
      <c r="F298" s="21"/>
      <c r="G298" s="511">
        <f t="shared" si="21"/>
        <v>0</v>
      </c>
      <c r="H298" s="511">
        <f t="shared" si="22"/>
        <v>0</v>
      </c>
      <c r="I298" s="511">
        <f t="shared" si="23"/>
        <v>0</v>
      </c>
      <c r="J298" s="515">
        <f t="shared" si="24"/>
        <v>0</v>
      </c>
      <c r="S298" s="511">
        <v>0</v>
      </c>
    </row>
    <row r="299" spans="1:19" ht="15" customHeight="1" x14ac:dyDescent="0.25">
      <c r="A299" s="180" t="s">
        <v>440</v>
      </c>
      <c r="B299" s="176" t="s">
        <v>441</v>
      </c>
      <c r="C299" s="132">
        <f>+'ENERO '!C299+FEBRERO!C299+MARZO!C299+ABRIL!C299+MAYO!C299+JUNIO!C299+JULIO!C299+AGOSTO!C299+SEPTIEMBRE!C299+OCTUBRE!C299+NOVIEMBRE!C299+DICIEMBRE!C299</f>
        <v>1972</v>
      </c>
      <c r="D299" s="26">
        <f>+[1]BS17A!$U1866</f>
        <v>2450</v>
      </c>
      <c r="E299" s="531">
        <f>+'ENERO '!E299+FEBRERO!E299+MARZO!E299+ABRIL!E299+MAYO!E299+JUNIO!E299+JULIO!E299+AGOSTO!E299+SEPTIEMBRE!E299+OCTUBRE!E299+NOVIEMBRE!E299+DICIEMBRE!E299</f>
        <v>4936260</v>
      </c>
      <c r="F299" s="21"/>
      <c r="G299" s="511">
        <f t="shared" si="21"/>
        <v>705180</v>
      </c>
      <c r="H299" s="511">
        <f t="shared" si="22"/>
        <v>8462160</v>
      </c>
      <c r="I299" s="511">
        <f t="shared" si="23"/>
        <v>846216</v>
      </c>
      <c r="J299" s="515">
        <f t="shared" si="24"/>
        <v>9308376</v>
      </c>
      <c r="S299" s="511">
        <v>3870300</v>
      </c>
    </row>
    <row r="300" spans="1:19" ht="15" customHeight="1" x14ac:dyDescent="0.25">
      <c r="A300" s="180" t="s">
        <v>442</v>
      </c>
      <c r="B300" s="176" t="s">
        <v>443</v>
      </c>
      <c r="C300" s="132">
        <f>+'ENERO '!C300+FEBRERO!C300+MARZO!C300+ABRIL!C300+MAYO!C300+JUNIO!C300+JULIO!C300+AGOSTO!C300+SEPTIEMBRE!C300+OCTUBRE!C300+NOVIEMBRE!C300+DICIEMBRE!C300</f>
        <v>0</v>
      </c>
      <c r="D300" s="26">
        <f>+[1]BS17A!$U1867</f>
        <v>70</v>
      </c>
      <c r="E300" s="132">
        <f>+'ENERO '!E300+FEBRERO!E300+MARZO!E300+ABRIL!E300+MAYO!E300+JUNIO!E300+JULIO!E300+AGOSTO!E300+SEPTIEMBRE!E300+OCTUBRE!E300+NOVIEMBRE!E300+DICIEMBRE!E300</f>
        <v>0</v>
      </c>
      <c r="F300" s="21"/>
      <c r="G300" s="511">
        <f t="shared" si="21"/>
        <v>0</v>
      </c>
      <c r="H300" s="511">
        <f t="shared" si="22"/>
        <v>0</v>
      </c>
      <c r="I300" s="511">
        <f t="shared" si="23"/>
        <v>0</v>
      </c>
      <c r="J300" s="515">
        <f t="shared" si="24"/>
        <v>0</v>
      </c>
      <c r="S300" s="511">
        <v>0</v>
      </c>
    </row>
    <row r="301" spans="1:19" ht="15" customHeight="1" x14ac:dyDescent="0.25">
      <c r="A301" s="180" t="s">
        <v>444</v>
      </c>
      <c r="B301" s="177" t="s">
        <v>445</v>
      </c>
      <c r="C301" s="132">
        <f>+'ENERO '!C301+FEBRERO!C301+MARZO!C301+ABRIL!C301+MAYO!C301+JUNIO!C301+JULIO!C301+AGOSTO!C301+SEPTIEMBRE!C301+OCTUBRE!C301+NOVIEMBRE!C301+DICIEMBRE!C301</f>
        <v>0</v>
      </c>
      <c r="D301" s="26">
        <f>+[1]BS17A!$U1868</f>
        <v>148120</v>
      </c>
      <c r="E301" s="132">
        <f>+'ENERO '!E301+FEBRERO!E301+MARZO!E301+ABRIL!E301+MAYO!E301+JUNIO!E301+JULIO!E301+AGOSTO!E301+SEPTIEMBRE!E301+OCTUBRE!E301+NOVIEMBRE!E301+DICIEMBRE!E301</f>
        <v>0</v>
      </c>
      <c r="F301" s="21"/>
      <c r="G301" s="511">
        <f t="shared" si="21"/>
        <v>0</v>
      </c>
      <c r="H301" s="511">
        <f t="shared" si="22"/>
        <v>0</v>
      </c>
      <c r="I301" s="511">
        <f t="shared" si="23"/>
        <v>0</v>
      </c>
      <c r="J301" s="515">
        <f t="shared" si="24"/>
        <v>0</v>
      </c>
      <c r="S301" s="511">
        <v>0</v>
      </c>
    </row>
    <row r="302" spans="1:19" ht="15" customHeight="1" x14ac:dyDescent="0.25">
      <c r="A302" s="181" t="s">
        <v>446</v>
      </c>
      <c r="B302" s="178" t="s">
        <v>447</v>
      </c>
      <c r="C302" s="132">
        <f>+'ENERO '!C302+FEBRERO!C302+MARZO!C302+ABRIL!C302+MAYO!C302+JUNIO!C302+JULIO!C302+AGOSTO!C302+SEPTIEMBRE!C302+OCTUBRE!C302+NOVIEMBRE!C302+DICIEMBRE!C302</f>
        <v>0</v>
      </c>
      <c r="D302" s="33">
        <f>+[1]BS17A!$U1869</f>
        <v>10070</v>
      </c>
      <c r="E302" s="132">
        <f>+'ENERO '!E302+FEBRERO!E302+MARZO!E302+ABRIL!E302+MAYO!E302+JUNIO!E302+JULIO!E302+AGOSTO!E302+SEPTIEMBRE!E302+OCTUBRE!E302+NOVIEMBRE!E302+DICIEMBRE!E302</f>
        <v>0</v>
      </c>
      <c r="F302" s="21"/>
      <c r="G302" s="511">
        <f t="shared" si="21"/>
        <v>0</v>
      </c>
      <c r="H302" s="511">
        <f t="shared" si="22"/>
        <v>0</v>
      </c>
      <c r="I302" s="511">
        <f t="shared" si="23"/>
        <v>0</v>
      </c>
      <c r="J302" s="515">
        <f t="shared" si="24"/>
        <v>0</v>
      </c>
      <c r="S302" s="511">
        <v>0</v>
      </c>
    </row>
    <row r="303" spans="1:19" ht="15" customHeight="1" x14ac:dyDescent="0.25">
      <c r="A303" s="182"/>
      <c r="B303" s="575" t="s">
        <v>448</v>
      </c>
      <c r="C303" s="576"/>
      <c r="D303" s="118"/>
      <c r="E303" s="129">
        <f>SUM(E296:E302)</f>
        <v>170247270</v>
      </c>
      <c r="F303" s="21"/>
      <c r="G303" s="511">
        <f t="shared" si="21"/>
        <v>24321038.571428571</v>
      </c>
      <c r="H303" s="511">
        <f t="shared" si="22"/>
        <v>291852462.85714287</v>
      </c>
      <c r="I303" s="511">
        <f t="shared" si="23"/>
        <v>29185246.285714287</v>
      </c>
      <c r="J303" s="515">
        <f t="shared" si="24"/>
        <v>321037709.14285713</v>
      </c>
      <c r="S303" s="511">
        <v>125254650</v>
      </c>
    </row>
    <row r="304" spans="1:19" x14ac:dyDescent="0.25">
      <c r="A304" s="21"/>
      <c r="B304" s="21"/>
      <c r="C304" s="21"/>
      <c r="D304" s="21"/>
      <c r="E304" s="21"/>
      <c r="F304" s="111"/>
      <c r="G304" s="511">
        <f t="shared" si="21"/>
        <v>0</v>
      </c>
      <c r="H304" s="511">
        <f t="shared" si="22"/>
        <v>0</v>
      </c>
      <c r="I304" s="511">
        <f t="shared" si="23"/>
        <v>0</v>
      </c>
      <c r="J304" s="515">
        <f t="shared" si="24"/>
        <v>0</v>
      </c>
    </row>
    <row r="305" spans="1:21" x14ac:dyDescent="0.25">
      <c r="A305" s="21"/>
      <c r="B305" s="21"/>
      <c r="C305" s="21"/>
      <c r="D305" s="21"/>
      <c r="E305" s="21"/>
      <c r="F305" s="111"/>
      <c r="G305" s="511">
        <f t="shared" si="21"/>
        <v>0</v>
      </c>
      <c r="H305" s="511">
        <f t="shared" si="22"/>
        <v>0</v>
      </c>
      <c r="I305" s="511">
        <f t="shared" si="23"/>
        <v>0</v>
      </c>
      <c r="J305" s="515">
        <f t="shared" si="24"/>
        <v>0</v>
      </c>
    </row>
    <row r="306" spans="1:21" x14ac:dyDescent="0.25">
      <c r="A306" s="567" t="s">
        <v>449</v>
      </c>
      <c r="B306" s="568"/>
      <c r="C306" s="568"/>
      <c r="D306" s="568"/>
      <c r="E306" s="569"/>
      <c r="F306" s="111"/>
      <c r="G306" s="511">
        <f t="shared" si="21"/>
        <v>0</v>
      </c>
      <c r="H306" s="511">
        <f t="shared" si="22"/>
        <v>0</v>
      </c>
      <c r="I306" s="511">
        <f t="shared" si="23"/>
        <v>0</v>
      </c>
      <c r="J306" s="515">
        <f t="shared" si="24"/>
        <v>0</v>
      </c>
    </row>
    <row r="307" spans="1:21" x14ac:dyDescent="0.25">
      <c r="A307" s="63"/>
      <c r="B307" s="572" t="s">
        <v>450</v>
      </c>
      <c r="C307" s="573"/>
      <c r="D307" s="574"/>
      <c r="E307" s="531">
        <f>+'ENERO '!E307+FEBRERO!E307+MARZO!E307+ABRIL!E307+MAYO!E307+JUNIO!E307+JULIO!E307+AGOSTO!E307+SEPTIEMBRE!E307+OCTUBRE!E307+NOVIEMBRE!E307+DICIEMBRE!E307</f>
        <v>368485720</v>
      </c>
      <c r="F307" s="111"/>
      <c r="G307" s="511">
        <f t="shared" si="21"/>
        <v>52640817.142857142</v>
      </c>
      <c r="H307" s="511">
        <f t="shared" si="22"/>
        <v>631689805.71428573</v>
      </c>
      <c r="I307" s="511">
        <f t="shared" si="23"/>
        <v>63168980.571428575</v>
      </c>
      <c r="J307" s="515">
        <f t="shared" si="24"/>
        <v>694858786.28571427</v>
      </c>
      <c r="S307" s="511">
        <v>273056710</v>
      </c>
    </row>
    <row r="308" spans="1:21" x14ac:dyDescent="0.25">
      <c r="A308" s="21"/>
      <c r="B308" s="21"/>
      <c r="C308" s="21"/>
      <c r="D308" s="21"/>
      <c r="E308" s="21"/>
      <c r="F308" s="111"/>
      <c r="G308" s="511">
        <f t="shared" si="21"/>
        <v>0</v>
      </c>
      <c r="H308" s="511">
        <f t="shared" si="22"/>
        <v>0</v>
      </c>
      <c r="I308" s="511">
        <f t="shared" si="23"/>
        <v>0</v>
      </c>
      <c r="J308" s="515">
        <f t="shared" si="24"/>
        <v>0</v>
      </c>
    </row>
    <row r="309" spans="1:21" x14ac:dyDescent="0.25">
      <c r="A309" s="21"/>
      <c r="B309" s="21"/>
      <c r="C309" s="21"/>
      <c r="D309" s="21"/>
      <c r="E309" s="21"/>
      <c r="F309" s="111"/>
      <c r="G309" s="511">
        <f t="shared" si="21"/>
        <v>0</v>
      </c>
      <c r="H309" s="511">
        <f t="shared" si="22"/>
        <v>0</v>
      </c>
      <c r="I309" s="511">
        <f t="shared" si="23"/>
        <v>0</v>
      </c>
      <c r="J309" s="515">
        <f t="shared" si="24"/>
        <v>0</v>
      </c>
    </row>
    <row r="310" spans="1:21" x14ac:dyDescent="0.25">
      <c r="A310" s="567" t="s">
        <v>451</v>
      </c>
      <c r="B310" s="568"/>
      <c r="C310" s="568"/>
      <c r="D310" s="568"/>
      <c r="E310" s="569"/>
      <c r="F310" s="111"/>
      <c r="G310" s="511">
        <f t="shared" si="21"/>
        <v>0</v>
      </c>
      <c r="H310" s="511">
        <f t="shared" si="22"/>
        <v>0</v>
      </c>
      <c r="I310" s="511">
        <f t="shared" si="23"/>
        <v>0</v>
      </c>
      <c r="J310" s="515">
        <f t="shared" si="24"/>
        <v>0</v>
      </c>
      <c r="S310" s="511">
        <f>SUM(S14:S309)</f>
        <v>14174179830</v>
      </c>
      <c r="U310" s="21">
        <f>+S310/2</f>
        <v>7087089915</v>
      </c>
    </row>
    <row r="311" spans="1:21" ht="60" customHeight="1" x14ac:dyDescent="0.25">
      <c r="A311" s="552" t="s">
        <v>452</v>
      </c>
      <c r="B311" s="553"/>
      <c r="C311" s="553"/>
      <c r="D311" s="554"/>
      <c r="E311" s="1" t="s">
        <v>12</v>
      </c>
      <c r="F311" s="111"/>
      <c r="U311" s="225">
        <f>+S312-U310</f>
        <v>-563130650</v>
      </c>
    </row>
    <row r="312" spans="1:21" ht="45" customHeight="1" x14ac:dyDescent="0.25">
      <c r="A312" s="63"/>
      <c r="B312" s="572" t="s">
        <v>453</v>
      </c>
      <c r="C312" s="573"/>
      <c r="D312" s="574"/>
      <c r="E312" s="531">
        <f>+'ENERO '!E312+FEBRERO!E312+MARZO!E312+ABRIL!E312+MAYO!E312+JUNIO!E312+JULIO!E312+AGOSTO!E312+SEPTIEMBRE!E312+OCTUBRE!E312+NOVIEMBRE!E312+DICIEMBRE!E312</f>
        <v>8810794155</v>
      </c>
      <c r="F312" s="111"/>
      <c r="G312" s="511">
        <f>+E312/7</f>
        <v>1258684879.2857144</v>
      </c>
      <c r="H312" s="511">
        <f t="shared" si="22"/>
        <v>15104218551.428574</v>
      </c>
      <c r="I312" s="511">
        <f t="shared" si="23"/>
        <v>1510421855.1428576</v>
      </c>
      <c r="J312" s="515">
        <f t="shared" si="24"/>
        <v>16614640406.57143</v>
      </c>
      <c r="S312" s="533">
        <v>6523959265</v>
      </c>
    </row>
    <row r="313" spans="1:21" ht="18" customHeight="1" x14ac:dyDescent="0.25">
      <c r="A313" s="21"/>
      <c r="B313" s="21"/>
      <c r="C313" s="21"/>
      <c r="D313" s="21"/>
      <c r="E313" s="21"/>
      <c r="F313" s="111"/>
      <c r="G313" s="511">
        <f t="shared" si="21"/>
        <v>0</v>
      </c>
      <c r="H313" s="511">
        <f t="shared" si="22"/>
        <v>0</v>
      </c>
    </row>
    <row r="314" spans="1:21" ht="18" customHeight="1" x14ac:dyDescent="0.25">
      <c r="A314" s="21"/>
      <c r="B314" s="21"/>
      <c r="C314" s="21"/>
      <c r="D314" s="21"/>
      <c r="F314" s="111"/>
      <c r="G314" s="511">
        <f>+E312/7</f>
        <v>1258684879.2857144</v>
      </c>
    </row>
    <row r="315" spans="1:21" ht="18" customHeight="1" x14ac:dyDescent="0.25">
      <c r="A315" s="567" t="s">
        <v>454</v>
      </c>
      <c r="B315" s="568"/>
      <c r="C315" s="569"/>
      <c r="D315" s="21"/>
      <c r="E315" s="21"/>
      <c r="F315" s="111"/>
      <c r="G315" s="511">
        <f t="shared" si="21"/>
        <v>0</v>
      </c>
    </row>
    <row r="316" spans="1:21" ht="18" customHeight="1" x14ac:dyDescent="0.25">
      <c r="A316" s="552" t="s">
        <v>455</v>
      </c>
      <c r="B316" s="553"/>
      <c r="C316" s="554"/>
      <c r="D316" s="21"/>
      <c r="E316" s="21"/>
      <c r="F316" s="111"/>
      <c r="G316" s="511">
        <f t="shared" si="21"/>
        <v>0</v>
      </c>
    </row>
    <row r="317" spans="1:21" ht="30.75" customHeight="1" x14ac:dyDescent="0.25">
      <c r="A317" s="567" t="s">
        <v>456</v>
      </c>
      <c r="B317" s="568"/>
      <c r="C317" s="1" t="s">
        <v>457</v>
      </c>
      <c r="D317" s="21"/>
      <c r="E317" s="21"/>
      <c r="F317" s="111"/>
    </row>
    <row r="318" spans="1:21" ht="15" customHeight="1" x14ac:dyDescent="0.25">
      <c r="A318" s="131" t="s">
        <v>458</v>
      </c>
      <c r="B318" s="144"/>
      <c r="C318" s="132">
        <f>+'ENERO '!C318+FEBRERO!C318+MARZO!C318+ABRIL!C318+MAYO!C318+JUNIO!C318+JULIO!C318+AGOSTO!C318+SEPTIEMBRE!C318+OCTUBRE!C318+NOVIEMBRE!C318+DICIEMBRE!C318</f>
        <v>0</v>
      </c>
      <c r="D318" s="21"/>
      <c r="E318" s="21"/>
      <c r="F318" s="111"/>
    </row>
    <row r="319" spans="1:21" ht="15" customHeight="1" x14ac:dyDescent="0.25">
      <c r="A319" s="132" t="s">
        <v>459</v>
      </c>
      <c r="B319" s="145"/>
      <c r="C319" s="132">
        <f>+'ENERO '!C319+FEBRERO!C319+MARZO!C319+ABRIL!C319+MAYO!C319+JUNIO!C319+JULIO!C319+AGOSTO!C319+SEPTIEMBRE!C319+OCTUBRE!C319+NOVIEMBRE!C319+DICIEMBRE!C319</f>
        <v>0</v>
      </c>
      <c r="D319" s="21"/>
      <c r="E319" s="21"/>
      <c r="F319" s="111"/>
    </row>
    <row r="320" spans="1:21" ht="15" customHeight="1" x14ac:dyDescent="0.25">
      <c r="A320" s="132" t="s">
        <v>460</v>
      </c>
      <c r="B320" s="145"/>
      <c r="C320" s="132">
        <f>+'ENERO '!C320+FEBRERO!C320+MARZO!C320+ABRIL!C320+MAYO!C320+JUNIO!C320+JULIO!C320+AGOSTO!C320+SEPTIEMBRE!C320+OCTUBRE!C320+NOVIEMBRE!C320+DICIEMBRE!C320</f>
        <v>0</v>
      </c>
      <c r="D320" s="21"/>
      <c r="E320" s="21"/>
      <c r="F320" s="111"/>
    </row>
    <row r="321" spans="1:6" ht="15" customHeight="1" x14ac:dyDescent="0.25">
      <c r="A321" s="133" t="s">
        <v>461</v>
      </c>
      <c r="B321" s="145"/>
      <c r="C321" s="132">
        <f>+'ENERO '!C321+FEBRERO!C321+MARZO!C321+ABRIL!C321+MAYO!C321+JUNIO!C321+JULIO!C321+AGOSTO!C321+SEPTIEMBRE!C321+OCTUBRE!C321+NOVIEMBRE!C321+DICIEMBRE!C321</f>
        <v>0</v>
      </c>
      <c r="D321" s="21"/>
      <c r="E321" s="21"/>
      <c r="F321" s="111"/>
    </row>
    <row r="322" spans="1:6" ht="15" customHeight="1" x14ac:dyDescent="0.25">
      <c r="A322" s="134" t="s">
        <v>462</v>
      </c>
      <c r="B322" s="146"/>
      <c r="C322" s="132">
        <f>+'ENERO '!C322+FEBRERO!C322+MARZO!C322+ABRIL!C322+MAYO!C322+JUNIO!C322+JULIO!C322+AGOSTO!C322+SEPTIEMBRE!C322+OCTUBRE!C322+NOVIEMBRE!C322+DICIEMBRE!C322</f>
        <v>0</v>
      </c>
      <c r="D322" s="21"/>
      <c r="E322" s="21"/>
      <c r="F322" s="21"/>
    </row>
    <row r="323" spans="1:6" ht="15" customHeight="1" x14ac:dyDescent="0.25">
      <c r="A323" s="135" t="s">
        <v>463</v>
      </c>
      <c r="B323" s="147"/>
      <c r="C323" s="132">
        <f>+'ENERO '!C323+FEBRERO!C323+MARZO!C323+ABRIL!C323+MAYO!C323+JUNIO!C323+JULIO!C323+AGOSTO!C323+SEPTIEMBRE!C323+OCTUBRE!C323+NOVIEMBRE!C323+DICIEMBRE!C323</f>
        <v>96136219</v>
      </c>
      <c r="D323" s="21"/>
      <c r="E323" s="21"/>
      <c r="F323" s="21"/>
    </row>
    <row r="324" spans="1:6" ht="15" customHeight="1" x14ac:dyDescent="0.25">
      <c r="A324" s="136" t="s">
        <v>464</v>
      </c>
      <c r="B324" s="148"/>
      <c r="C324" s="132">
        <f>+'ENERO '!C324+FEBRERO!C324+MARZO!C324+ABRIL!C324+MAYO!C324+JUNIO!C324+JULIO!C324+AGOSTO!C324+SEPTIEMBRE!C324+OCTUBRE!C324+NOVIEMBRE!C324+DICIEMBRE!C324</f>
        <v>0</v>
      </c>
      <c r="D324" s="21"/>
      <c r="E324" s="21"/>
      <c r="F324" s="21"/>
    </row>
    <row r="325" spans="1:6" ht="15" customHeight="1" x14ac:dyDescent="0.25">
      <c r="A325" s="132" t="s">
        <v>465</v>
      </c>
      <c r="B325" s="148"/>
      <c r="C325" s="132">
        <f>+'ENERO '!C325+FEBRERO!C325+MARZO!C325+ABRIL!C325+MAYO!C325+JUNIO!C325+JULIO!C325+AGOSTO!C325+SEPTIEMBRE!C325+OCTUBRE!C325+NOVIEMBRE!C325+DICIEMBRE!C325</f>
        <v>0</v>
      </c>
      <c r="D325" s="21"/>
      <c r="E325" s="21"/>
      <c r="F325" s="21"/>
    </row>
    <row r="326" spans="1:6" ht="15" customHeight="1" x14ac:dyDescent="0.25">
      <c r="A326" s="132" t="s">
        <v>466</v>
      </c>
      <c r="B326" s="148"/>
      <c r="C326" s="132">
        <f>+'ENERO '!C326+FEBRERO!C326+MARZO!C326+ABRIL!C326+MAYO!C326+JUNIO!C326+JULIO!C326+AGOSTO!C326+SEPTIEMBRE!C326+OCTUBRE!C326+NOVIEMBRE!C326+DICIEMBRE!C326</f>
        <v>0</v>
      </c>
      <c r="D326" s="21"/>
      <c r="E326" s="21"/>
      <c r="F326" s="21"/>
    </row>
    <row r="327" spans="1:6" ht="15" customHeight="1" x14ac:dyDescent="0.25">
      <c r="A327" s="136" t="s">
        <v>467</v>
      </c>
      <c r="B327" s="148"/>
      <c r="C327" s="132">
        <f>+'ENERO '!C327+FEBRERO!C327+MARZO!C327+ABRIL!C327+MAYO!C327+JUNIO!C327+JULIO!C327+AGOSTO!C327+SEPTIEMBRE!C327+OCTUBRE!C327+NOVIEMBRE!C327+DICIEMBRE!C327</f>
        <v>0</v>
      </c>
      <c r="D327" s="21"/>
      <c r="E327" s="21"/>
      <c r="F327" s="21"/>
    </row>
    <row r="328" spans="1:6" ht="15" customHeight="1" x14ac:dyDescent="0.25">
      <c r="A328" s="136" t="s">
        <v>468</v>
      </c>
      <c r="B328" s="148"/>
      <c r="C328" s="132">
        <f>+'ENERO '!C328+FEBRERO!C328+MARZO!C328+ABRIL!C328+MAYO!C328+JUNIO!C328+JULIO!C328+AGOSTO!C328+SEPTIEMBRE!C328+OCTUBRE!C328+NOVIEMBRE!C328+DICIEMBRE!C328</f>
        <v>0</v>
      </c>
      <c r="D328" s="21"/>
      <c r="E328" s="21"/>
      <c r="F328" s="21"/>
    </row>
    <row r="329" spans="1:6" ht="15" customHeight="1" x14ac:dyDescent="0.25">
      <c r="A329" s="137" t="s">
        <v>469</v>
      </c>
      <c r="B329" s="149"/>
      <c r="C329" s="132">
        <f>+'ENERO '!C329+FEBRERO!C329+MARZO!C329+ABRIL!C329+MAYO!C329+JUNIO!C329+JULIO!C329+AGOSTO!C329+SEPTIEMBRE!C329+OCTUBRE!C329+NOVIEMBRE!C329+DICIEMBRE!C329</f>
        <v>1187798782</v>
      </c>
      <c r="D329" s="21"/>
      <c r="E329" s="21"/>
      <c r="F329" s="21"/>
    </row>
    <row r="330" spans="1:6" ht="15" customHeight="1" x14ac:dyDescent="0.25">
      <c r="A330" s="35"/>
      <c r="B330" s="143" t="s">
        <v>470</v>
      </c>
      <c r="C330" s="106">
        <f>SUM(C322:C329)</f>
        <v>1283935001</v>
      </c>
      <c r="D330" s="21"/>
      <c r="E330" s="21"/>
      <c r="F330" s="21"/>
    </row>
    <row r="331" spans="1:6" x14ac:dyDescent="0.25">
      <c r="A331" s="21"/>
      <c r="B331" s="21"/>
      <c r="C331" s="21"/>
      <c r="D331" s="21"/>
      <c r="E331" s="21"/>
      <c r="F331" s="18"/>
    </row>
    <row r="332" spans="1:6" x14ac:dyDescent="0.25">
      <c r="A332" s="21"/>
      <c r="B332" s="21"/>
      <c r="C332" s="21"/>
      <c r="D332" s="21"/>
      <c r="E332" s="21"/>
      <c r="F332" s="18"/>
    </row>
    <row r="333" spans="1:6" x14ac:dyDescent="0.25">
      <c r="A333" s="21"/>
      <c r="B333" s="21"/>
      <c r="C333" s="21"/>
      <c r="D333" s="21"/>
      <c r="E333" s="21"/>
      <c r="F333" s="18"/>
    </row>
    <row r="334" spans="1:6" x14ac:dyDescent="0.25">
      <c r="A334" s="114"/>
      <c r="B334" s="114"/>
      <c r="C334" s="114"/>
      <c r="D334" s="114"/>
      <c r="E334" s="114"/>
      <c r="F334" s="127"/>
    </row>
    <row r="335" spans="1:6" x14ac:dyDescent="0.25">
      <c r="A335" s="114"/>
      <c r="B335" s="114"/>
      <c r="C335" s="114"/>
      <c r="D335" s="114"/>
      <c r="E335" s="541">
        <f>[1]NOMBRE!B12</f>
        <v>0</v>
      </c>
      <c r="F335" s="541"/>
    </row>
    <row r="336" spans="1:6" x14ac:dyDescent="0.25">
      <c r="A336" s="114"/>
      <c r="B336" s="114"/>
      <c r="C336" s="114"/>
      <c r="D336" s="116"/>
      <c r="E336" s="542" t="str">
        <f>[1]NOMBRE!A12</f>
        <v>Jefe de Estadisticas</v>
      </c>
      <c r="F336" s="542"/>
    </row>
    <row r="337" spans="1:6" x14ac:dyDescent="0.25">
      <c r="A337" s="114"/>
      <c r="B337" s="114"/>
      <c r="C337" s="114"/>
      <c r="D337" s="114"/>
      <c r="E337" s="233"/>
      <c r="F337" s="6"/>
    </row>
    <row r="338" spans="1:6" x14ac:dyDescent="0.25">
      <c r="A338" s="114"/>
      <c r="B338" s="114"/>
      <c r="C338" s="114"/>
      <c r="D338" s="114"/>
      <c r="E338" s="6"/>
      <c r="F338" s="6"/>
    </row>
    <row r="339" spans="1:6" x14ac:dyDescent="0.25">
      <c r="A339" s="114"/>
      <c r="B339" s="114"/>
      <c r="C339" s="114"/>
      <c r="D339" s="114"/>
      <c r="E339" s="6"/>
      <c r="F339" s="6"/>
    </row>
    <row r="340" spans="1:6" x14ac:dyDescent="0.25">
      <c r="A340" s="114"/>
      <c r="B340" s="114"/>
      <c r="C340" s="114"/>
      <c r="D340" s="114"/>
      <c r="E340" s="6"/>
      <c r="F340" s="6"/>
    </row>
    <row r="341" spans="1:6" x14ac:dyDescent="0.25">
      <c r="A341" s="114"/>
      <c r="B341" s="114"/>
      <c r="C341" s="114"/>
      <c r="D341" s="114"/>
      <c r="E341" s="6"/>
      <c r="F341" s="6"/>
    </row>
    <row r="342" spans="1:6" x14ac:dyDescent="0.25">
      <c r="A342" s="114"/>
      <c r="B342" s="114"/>
      <c r="C342" s="114"/>
      <c r="D342" s="114"/>
      <c r="E342" s="6"/>
      <c r="F342" s="6"/>
    </row>
    <row r="343" spans="1:6" x14ac:dyDescent="0.25">
      <c r="A343" s="114"/>
      <c r="B343" s="114"/>
      <c r="C343" s="114"/>
      <c r="D343" s="114"/>
      <c r="E343" s="6"/>
      <c r="F343" s="6"/>
    </row>
    <row r="344" spans="1:6" x14ac:dyDescent="0.25">
      <c r="A344" s="114"/>
      <c r="B344" s="114"/>
      <c r="C344" s="114"/>
      <c r="D344" s="114"/>
      <c r="E344" s="541">
        <f>[1]NOMBRE!B11</f>
        <v>0</v>
      </c>
      <c r="F344" s="541"/>
    </row>
    <row r="345" spans="1:6" ht="22.5" customHeight="1" x14ac:dyDescent="0.25">
      <c r="A345" s="114"/>
      <c r="B345" s="114"/>
      <c r="C345" s="114"/>
      <c r="D345" s="127"/>
      <c r="E345" s="542" t="str">
        <f>CONCATENATE("Director ",[1]NOMBRE!B1)</f>
        <v xml:space="preserve">Director </v>
      </c>
      <c r="F345" s="542"/>
    </row>
    <row r="346" spans="1:6" x14ac:dyDescent="0.25">
      <c r="A346" s="114"/>
      <c r="B346" s="114"/>
      <c r="C346" s="114"/>
      <c r="D346" s="138"/>
      <c r="E346" s="114"/>
      <c r="F346" s="127"/>
    </row>
  </sheetData>
  <mergeCells count="49">
    <mergeCell ref="A310:E310"/>
    <mergeCell ref="A311:D311"/>
    <mergeCell ref="B312:D312"/>
    <mergeCell ref="A315:C315"/>
    <mergeCell ref="E336:F336"/>
    <mergeCell ref="A316:C316"/>
    <mergeCell ref="A317:B317"/>
    <mergeCell ref="E335:F335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E344:F344"/>
    <mergeCell ref="E345:F345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</mergeCells>
  <printOptions horizontalCentered="1"/>
  <pageMargins left="1.4960629921259843" right="0.70866141732283472" top="0.74803149606299213" bottom="0.74803149606299213" header="0.31496062992125984" footer="0.31496062992125984"/>
  <pageSetup paperSize="5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80" zoomScaleNormal="80" workbookViewId="0">
      <selection activeCell="A14" sqref="A14"/>
    </sheetView>
  </sheetViews>
  <sheetFormatPr baseColWidth="10" defaultRowHeight="10.5" x14ac:dyDescent="0.15"/>
  <cols>
    <col min="1" max="1" width="20.28515625" style="501" customWidth="1"/>
    <col min="2" max="2" width="83.140625" style="501" customWidth="1"/>
    <col min="3" max="5" width="21.42578125" style="501" customWidth="1"/>
    <col min="6" max="6" width="19.5703125" style="502" customWidth="1"/>
    <col min="7" max="7" width="2.42578125" style="501" customWidth="1"/>
    <col min="8" max="9" width="5.140625" style="501" customWidth="1"/>
    <col min="10" max="256" width="11.42578125" style="501"/>
    <col min="257" max="257" width="20.28515625" style="501" customWidth="1"/>
    <col min="258" max="258" width="83.140625" style="501" customWidth="1"/>
    <col min="259" max="261" width="21.42578125" style="501" customWidth="1"/>
    <col min="262" max="262" width="19.5703125" style="501" customWidth="1"/>
    <col min="263" max="263" width="2.42578125" style="501" customWidth="1"/>
    <col min="264" max="265" width="5.140625" style="501" customWidth="1"/>
    <col min="266" max="512" width="11.42578125" style="501"/>
    <col min="513" max="513" width="20.28515625" style="501" customWidth="1"/>
    <col min="514" max="514" width="83.140625" style="501" customWidth="1"/>
    <col min="515" max="517" width="21.42578125" style="501" customWidth="1"/>
    <col min="518" max="518" width="19.5703125" style="501" customWidth="1"/>
    <col min="519" max="519" width="2.42578125" style="501" customWidth="1"/>
    <col min="520" max="521" width="5.140625" style="501" customWidth="1"/>
    <col min="522" max="768" width="11.42578125" style="501"/>
    <col min="769" max="769" width="20.28515625" style="501" customWidth="1"/>
    <col min="770" max="770" width="83.140625" style="501" customWidth="1"/>
    <col min="771" max="773" width="21.42578125" style="501" customWidth="1"/>
    <col min="774" max="774" width="19.5703125" style="501" customWidth="1"/>
    <col min="775" max="775" width="2.42578125" style="501" customWidth="1"/>
    <col min="776" max="777" width="5.140625" style="501" customWidth="1"/>
    <col min="778" max="1024" width="11.42578125" style="501"/>
    <col min="1025" max="1025" width="20.28515625" style="501" customWidth="1"/>
    <col min="1026" max="1026" width="83.140625" style="501" customWidth="1"/>
    <col min="1027" max="1029" width="21.42578125" style="501" customWidth="1"/>
    <col min="1030" max="1030" width="19.5703125" style="501" customWidth="1"/>
    <col min="1031" max="1031" width="2.42578125" style="501" customWidth="1"/>
    <col min="1032" max="1033" width="5.140625" style="501" customWidth="1"/>
    <col min="1034" max="1280" width="11.42578125" style="501"/>
    <col min="1281" max="1281" width="20.28515625" style="501" customWidth="1"/>
    <col min="1282" max="1282" width="83.140625" style="501" customWidth="1"/>
    <col min="1283" max="1285" width="21.42578125" style="501" customWidth="1"/>
    <col min="1286" max="1286" width="19.5703125" style="501" customWidth="1"/>
    <col min="1287" max="1287" width="2.42578125" style="501" customWidth="1"/>
    <col min="1288" max="1289" width="5.140625" style="501" customWidth="1"/>
    <col min="1290" max="1536" width="11.42578125" style="501"/>
    <col min="1537" max="1537" width="20.28515625" style="501" customWidth="1"/>
    <col min="1538" max="1538" width="83.140625" style="501" customWidth="1"/>
    <col min="1539" max="1541" width="21.42578125" style="501" customWidth="1"/>
    <col min="1542" max="1542" width="19.5703125" style="501" customWidth="1"/>
    <col min="1543" max="1543" width="2.42578125" style="501" customWidth="1"/>
    <col min="1544" max="1545" width="5.140625" style="501" customWidth="1"/>
    <col min="1546" max="1792" width="11.42578125" style="501"/>
    <col min="1793" max="1793" width="20.28515625" style="501" customWidth="1"/>
    <col min="1794" max="1794" width="83.140625" style="501" customWidth="1"/>
    <col min="1795" max="1797" width="21.42578125" style="501" customWidth="1"/>
    <col min="1798" max="1798" width="19.5703125" style="501" customWidth="1"/>
    <col min="1799" max="1799" width="2.42578125" style="501" customWidth="1"/>
    <col min="1800" max="1801" width="5.140625" style="501" customWidth="1"/>
    <col min="1802" max="2048" width="11.42578125" style="501"/>
    <col min="2049" max="2049" width="20.28515625" style="501" customWidth="1"/>
    <col min="2050" max="2050" width="83.140625" style="501" customWidth="1"/>
    <col min="2051" max="2053" width="21.42578125" style="501" customWidth="1"/>
    <col min="2054" max="2054" width="19.5703125" style="501" customWidth="1"/>
    <col min="2055" max="2055" width="2.42578125" style="501" customWidth="1"/>
    <col min="2056" max="2057" width="5.140625" style="501" customWidth="1"/>
    <col min="2058" max="2304" width="11.42578125" style="501"/>
    <col min="2305" max="2305" width="20.28515625" style="501" customWidth="1"/>
    <col min="2306" max="2306" width="83.140625" style="501" customWidth="1"/>
    <col min="2307" max="2309" width="21.42578125" style="501" customWidth="1"/>
    <col min="2310" max="2310" width="19.5703125" style="501" customWidth="1"/>
    <col min="2311" max="2311" width="2.42578125" style="501" customWidth="1"/>
    <col min="2312" max="2313" width="5.140625" style="501" customWidth="1"/>
    <col min="2314" max="2560" width="11.42578125" style="501"/>
    <col min="2561" max="2561" width="20.28515625" style="501" customWidth="1"/>
    <col min="2562" max="2562" width="83.140625" style="501" customWidth="1"/>
    <col min="2563" max="2565" width="21.42578125" style="501" customWidth="1"/>
    <col min="2566" max="2566" width="19.5703125" style="501" customWidth="1"/>
    <col min="2567" max="2567" width="2.42578125" style="501" customWidth="1"/>
    <col min="2568" max="2569" width="5.140625" style="501" customWidth="1"/>
    <col min="2570" max="2816" width="11.42578125" style="501"/>
    <col min="2817" max="2817" width="20.28515625" style="501" customWidth="1"/>
    <col min="2818" max="2818" width="83.140625" style="501" customWidth="1"/>
    <col min="2819" max="2821" width="21.42578125" style="501" customWidth="1"/>
    <col min="2822" max="2822" width="19.5703125" style="501" customWidth="1"/>
    <col min="2823" max="2823" width="2.42578125" style="501" customWidth="1"/>
    <col min="2824" max="2825" width="5.140625" style="501" customWidth="1"/>
    <col min="2826" max="3072" width="11.42578125" style="501"/>
    <col min="3073" max="3073" width="20.28515625" style="501" customWidth="1"/>
    <col min="3074" max="3074" width="83.140625" style="501" customWidth="1"/>
    <col min="3075" max="3077" width="21.42578125" style="501" customWidth="1"/>
    <col min="3078" max="3078" width="19.5703125" style="501" customWidth="1"/>
    <col min="3079" max="3079" width="2.42578125" style="501" customWidth="1"/>
    <col min="3080" max="3081" width="5.140625" style="501" customWidth="1"/>
    <col min="3082" max="3328" width="11.42578125" style="501"/>
    <col min="3329" max="3329" width="20.28515625" style="501" customWidth="1"/>
    <col min="3330" max="3330" width="83.140625" style="501" customWidth="1"/>
    <col min="3331" max="3333" width="21.42578125" style="501" customWidth="1"/>
    <col min="3334" max="3334" width="19.5703125" style="501" customWidth="1"/>
    <col min="3335" max="3335" width="2.42578125" style="501" customWidth="1"/>
    <col min="3336" max="3337" width="5.140625" style="501" customWidth="1"/>
    <col min="3338" max="3584" width="11.42578125" style="501"/>
    <col min="3585" max="3585" width="20.28515625" style="501" customWidth="1"/>
    <col min="3586" max="3586" width="83.140625" style="501" customWidth="1"/>
    <col min="3587" max="3589" width="21.42578125" style="501" customWidth="1"/>
    <col min="3590" max="3590" width="19.5703125" style="501" customWidth="1"/>
    <col min="3591" max="3591" width="2.42578125" style="501" customWidth="1"/>
    <col min="3592" max="3593" width="5.140625" style="501" customWidth="1"/>
    <col min="3594" max="3840" width="11.42578125" style="501"/>
    <col min="3841" max="3841" width="20.28515625" style="501" customWidth="1"/>
    <col min="3842" max="3842" width="83.140625" style="501" customWidth="1"/>
    <col min="3843" max="3845" width="21.42578125" style="501" customWidth="1"/>
    <col min="3846" max="3846" width="19.5703125" style="501" customWidth="1"/>
    <col min="3847" max="3847" width="2.42578125" style="501" customWidth="1"/>
    <col min="3848" max="3849" width="5.140625" style="501" customWidth="1"/>
    <col min="3850" max="4096" width="11.42578125" style="501"/>
    <col min="4097" max="4097" width="20.28515625" style="501" customWidth="1"/>
    <col min="4098" max="4098" width="83.140625" style="501" customWidth="1"/>
    <col min="4099" max="4101" width="21.42578125" style="501" customWidth="1"/>
    <col min="4102" max="4102" width="19.5703125" style="501" customWidth="1"/>
    <col min="4103" max="4103" width="2.42578125" style="501" customWidth="1"/>
    <col min="4104" max="4105" width="5.140625" style="501" customWidth="1"/>
    <col min="4106" max="4352" width="11.42578125" style="501"/>
    <col min="4353" max="4353" width="20.28515625" style="501" customWidth="1"/>
    <col min="4354" max="4354" width="83.140625" style="501" customWidth="1"/>
    <col min="4355" max="4357" width="21.42578125" style="501" customWidth="1"/>
    <col min="4358" max="4358" width="19.5703125" style="501" customWidth="1"/>
    <col min="4359" max="4359" width="2.42578125" style="501" customWidth="1"/>
    <col min="4360" max="4361" width="5.140625" style="501" customWidth="1"/>
    <col min="4362" max="4608" width="11.42578125" style="501"/>
    <col min="4609" max="4609" width="20.28515625" style="501" customWidth="1"/>
    <col min="4610" max="4610" width="83.140625" style="501" customWidth="1"/>
    <col min="4611" max="4613" width="21.42578125" style="501" customWidth="1"/>
    <col min="4614" max="4614" width="19.5703125" style="501" customWidth="1"/>
    <col min="4615" max="4615" width="2.42578125" style="501" customWidth="1"/>
    <col min="4616" max="4617" width="5.140625" style="501" customWidth="1"/>
    <col min="4618" max="4864" width="11.42578125" style="501"/>
    <col min="4865" max="4865" width="20.28515625" style="501" customWidth="1"/>
    <col min="4866" max="4866" width="83.140625" style="501" customWidth="1"/>
    <col min="4867" max="4869" width="21.42578125" style="501" customWidth="1"/>
    <col min="4870" max="4870" width="19.5703125" style="501" customWidth="1"/>
    <col min="4871" max="4871" width="2.42578125" style="501" customWidth="1"/>
    <col min="4872" max="4873" width="5.140625" style="501" customWidth="1"/>
    <col min="4874" max="5120" width="11.42578125" style="501"/>
    <col min="5121" max="5121" width="20.28515625" style="501" customWidth="1"/>
    <col min="5122" max="5122" width="83.140625" style="501" customWidth="1"/>
    <col min="5123" max="5125" width="21.42578125" style="501" customWidth="1"/>
    <col min="5126" max="5126" width="19.5703125" style="501" customWidth="1"/>
    <col min="5127" max="5127" width="2.42578125" style="501" customWidth="1"/>
    <col min="5128" max="5129" width="5.140625" style="501" customWidth="1"/>
    <col min="5130" max="5376" width="11.42578125" style="501"/>
    <col min="5377" max="5377" width="20.28515625" style="501" customWidth="1"/>
    <col min="5378" max="5378" width="83.140625" style="501" customWidth="1"/>
    <col min="5379" max="5381" width="21.42578125" style="501" customWidth="1"/>
    <col min="5382" max="5382" width="19.5703125" style="501" customWidth="1"/>
    <col min="5383" max="5383" width="2.42578125" style="501" customWidth="1"/>
    <col min="5384" max="5385" width="5.140625" style="501" customWidth="1"/>
    <col min="5386" max="5632" width="11.42578125" style="501"/>
    <col min="5633" max="5633" width="20.28515625" style="501" customWidth="1"/>
    <col min="5634" max="5634" width="83.140625" style="501" customWidth="1"/>
    <col min="5635" max="5637" width="21.42578125" style="501" customWidth="1"/>
    <col min="5638" max="5638" width="19.5703125" style="501" customWidth="1"/>
    <col min="5639" max="5639" width="2.42578125" style="501" customWidth="1"/>
    <col min="5640" max="5641" width="5.140625" style="501" customWidth="1"/>
    <col min="5642" max="5888" width="11.42578125" style="501"/>
    <col min="5889" max="5889" width="20.28515625" style="501" customWidth="1"/>
    <col min="5890" max="5890" width="83.140625" style="501" customWidth="1"/>
    <col min="5891" max="5893" width="21.42578125" style="501" customWidth="1"/>
    <col min="5894" max="5894" width="19.5703125" style="501" customWidth="1"/>
    <col min="5895" max="5895" width="2.42578125" style="501" customWidth="1"/>
    <col min="5896" max="5897" width="5.140625" style="501" customWidth="1"/>
    <col min="5898" max="6144" width="11.42578125" style="501"/>
    <col min="6145" max="6145" width="20.28515625" style="501" customWidth="1"/>
    <col min="6146" max="6146" width="83.140625" style="501" customWidth="1"/>
    <col min="6147" max="6149" width="21.42578125" style="501" customWidth="1"/>
    <col min="6150" max="6150" width="19.5703125" style="501" customWidth="1"/>
    <col min="6151" max="6151" width="2.42578125" style="501" customWidth="1"/>
    <col min="6152" max="6153" width="5.140625" style="501" customWidth="1"/>
    <col min="6154" max="6400" width="11.42578125" style="501"/>
    <col min="6401" max="6401" width="20.28515625" style="501" customWidth="1"/>
    <col min="6402" max="6402" width="83.140625" style="501" customWidth="1"/>
    <col min="6403" max="6405" width="21.42578125" style="501" customWidth="1"/>
    <col min="6406" max="6406" width="19.5703125" style="501" customWidth="1"/>
    <col min="6407" max="6407" width="2.42578125" style="501" customWidth="1"/>
    <col min="6408" max="6409" width="5.140625" style="501" customWidth="1"/>
    <col min="6410" max="6656" width="11.42578125" style="501"/>
    <col min="6657" max="6657" width="20.28515625" style="501" customWidth="1"/>
    <col min="6658" max="6658" width="83.140625" style="501" customWidth="1"/>
    <col min="6659" max="6661" width="21.42578125" style="501" customWidth="1"/>
    <col min="6662" max="6662" width="19.5703125" style="501" customWidth="1"/>
    <col min="6663" max="6663" width="2.42578125" style="501" customWidth="1"/>
    <col min="6664" max="6665" width="5.140625" style="501" customWidth="1"/>
    <col min="6666" max="6912" width="11.42578125" style="501"/>
    <col min="6913" max="6913" width="20.28515625" style="501" customWidth="1"/>
    <col min="6914" max="6914" width="83.140625" style="501" customWidth="1"/>
    <col min="6915" max="6917" width="21.42578125" style="501" customWidth="1"/>
    <col min="6918" max="6918" width="19.5703125" style="501" customWidth="1"/>
    <col min="6919" max="6919" width="2.42578125" style="501" customWidth="1"/>
    <col min="6920" max="6921" width="5.140625" style="501" customWidth="1"/>
    <col min="6922" max="7168" width="11.42578125" style="501"/>
    <col min="7169" max="7169" width="20.28515625" style="501" customWidth="1"/>
    <col min="7170" max="7170" width="83.140625" style="501" customWidth="1"/>
    <col min="7171" max="7173" width="21.42578125" style="501" customWidth="1"/>
    <col min="7174" max="7174" width="19.5703125" style="501" customWidth="1"/>
    <col min="7175" max="7175" width="2.42578125" style="501" customWidth="1"/>
    <col min="7176" max="7177" width="5.140625" style="501" customWidth="1"/>
    <col min="7178" max="7424" width="11.42578125" style="501"/>
    <col min="7425" max="7425" width="20.28515625" style="501" customWidth="1"/>
    <col min="7426" max="7426" width="83.140625" style="501" customWidth="1"/>
    <col min="7427" max="7429" width="21.42578125" style="501" customWidth="1"/>
    <col min="7430" max="7430" width="19.5703125" style="501" customWidth="1"/>
    <col min="7431" max="7431" width="2.42578125" style="501" customWidth="1"/>
    <col min="7432" max="7433" width="5.140625" style="501" customWidth="1"/>
    <col min="7434" max="7680" width="11.42578125" style="501"/>
    <col min="7681" max="7681" width="20.28515625" style="501" customWidth="1"/>
    <col min="7682" max="7682" width="83.140625" style="501" customWidth="1"/>
    <col min="7683" max="7685" width="21.42578125" style="501" customWidth="1"/>
    <col min="7686" max="7686" width="19.5703125" style="501" customWidth="1"/>
    <col min="7687" max="7687" width="2.42578125" style="501" customWidth="1"/>
    <col min="7688" max="7689" width="5.140625" style="501" customWidth="1"/>
    <col min="7690" max="7936" width="11.42578125" style="501"/>
    <col min="7937" max="7937" width="20.28515625" style="501" customWidth="1"/>
    <col min="7938" max="7938" width="83.140625" style="501" customWidth="1"/>
    <col min="7939" max="7941" width="21.42578125" style="501" customWidth="1"/>
    <col min="7942" max="7942" width="19.5703125" style="501" customWidth="1"/>
    <col min="7943" max="7943" width="2.42578125" style="501" customWidth="1"/>
    <col min="7944" max="7945" width="5.140625" style="501" customWidth="1"/>
    <col min="7946" max="8192" width="11.42578125" style="501"/>
    <col min="8193" max="8193" width="20.28515625" style="501" customWidth="1"/>
    <col min="8194" max="8194" width="83.140625" style="501" customWidth="1"/>
    <col min="8195" max="8197" width="21.42578125" style="501" customWidth="1"/>
    <col min="8198" max="8198" width="19.5703125" style="501" customWidth="1"/>
    <col min="8199" max="8199" width="2.42578125" style="501" customWidth="1"/>
    <col min="8200" max="8201" width="5.140625" style="501" customWidth="1"/>
    <col min="8202" max="8448" width="11.42578125" style="501"/>
    <col min="8449" max="8449" width="20.28515625" style="501" customWidth="1"/>
    <col min="8450" max="8450" width="83.140625" style="501" customWidth="1"/>
    <col min="8451" max="8453" width="21.42578125" style="501" customWidth="1"/>
    <col min="8454" max="8454" width="19.5703125" style="501" customWidth="1"/>
    <col min="8455" max="8455" width="2.42578125" style="501" customWidth="1"/>
    <col min="8456" max="8457" width="5.140625" style="501" customWidth="1"/>
    <col min="8458" max="8704" width="11.42578125" style="501"/>
    <col min="8705" max="8705" width="20.28515625" style="501" customWidth="1"/>
    <col min="8706" max="8706" width="83.140625" style="501" customWidth="1"/>
    <col min="8707" max="8709" width="21.42578125" style="501" customWidth="1"/>
    <col min="8710" max="8710" width="19.5703125" style="501" customWidth="1"/>
    <col min="8711" max="8711" width="2.42578125" style="501" customWidth="1"/>
    <col min="8712" max="8713" width="5.140625" style="501" customWidth="1"/>
    <col min="8714" max="8960" width="11.42578125" style="501"/>
    <col min="8961" max="8961" width="20.28515625" style="501" customWidth="1"/>
    <col min="8962" max="8962" width="83.140625" style="501" customWidth="1"/>
    <col min="8963" max="8965" width="21.42578125" style="501" customWidth="1"/>
    <col min="8966" max="8966" width="19.5703125" style="501" customWidth="1"/>
    <col min="8967" max="8967" width="2.42578125" style="501" customWidth="1"/>
    <col min="8968" max="8969" width="5.140625" style="501" customWidth="1"/>
    <col min="8970" max="9216" width="11.42578125" style="501"/>
    <col min="9217" max="9217" width="20.28515625" style="501" customWidth="1"/>
    <col min="9218" max="9218" width="83.140625" style="501" customWidth="1"/>
    <col min="9219" max="9221" width="21.42578125" style="501" customWidth="1"/>
    <col min="9222" max="9222" width="19.5703125" style="501" customWidth="1"/>
    <col min="9223" max="9223" width="2.42578125" style="501" customWidth="1"/>
    <col min="9224" max="9225" width="5.140625" style="501" customWidth="1"/>
    <col min="9226" max="9472" width="11.42578125" style="501"/>
    <col min="9473" max="9473" width="20.28515625" style="501" customWidth="1"/>
    <col min="9474" max="9474" width="83.140625" style="501" customWidth="1"/>
    <col min="9475" max="9477" width="21.42578125" style="501" customWidth="1"/>
    <col min="9478" max="9478" width="19.5703125" style="501" customWidth="1"/>
    <col min="9479" max="9479" width="2.42578125" style="501" customWidth="1"/>
    <col min="9480" max="9481" width="5.140625" style="501" customWidth="1"/>
    <col min="9482" max="9728" width="11.42578125" style="501"/>
    <col min="9729" max="9729" width="20.28515625" style="501" customWidth="1"/>
    <col min="9730" max="9730" width="83.140625" style="501" customWidth="1"/>
    <col min="9731" max="9733" width="21.42578125" style="501" customWidth="1"/>
    <col min="9734" max="9734" width="19.5703125" style="501" customWidth="1"/>
    <col min="9735" max="9735" width="2.42578125" style="501" customWidth="1"/>
    <col min="9736" max="9737" width="5.140625" style="501" customWidth="1"/>
    <col min="9738" max="9984" width="11.42578125" style="501"/>
    <col min="9985" max="9985" width="20.28515625" style="501" customWidth="1"/>
    <col min="9986" max="9986" width="83.140625" style="501" customWidth="1"/>
    <col min="9987" max="9989" width="21.42578125" style="501" customWidth="1"/>
    <col min="9990" max="9990" width="19.5703125" style="501" customWidth="1"/>
    <col min="9991" max="9991" width="2.42578125" style="501" customWidth="1"/>
    <col min="9992" max="9993" width="5.140625" style="501" customWidth="1"/>
    <col min="9994" max="10240" width="11.42578125" style="501"/>
    <col min="10241" max="10241" width="20.28515625" style="501" customWidth="1"/>
    <col min="10242" max="10242" width="83.140625" style="501" customWidth="1"/>
    <col min="10243" max="10245" width="21.42578125" style="501" customWidth="1"/>
    <col min="10246" max="10246" width="19.5703125" style="501" customWidth="1"/>
    <col min="10247" max="10247" width="2.42578125" style="501" customWidth="1"/>
    <col min="10248" max="10249" width="5.140625" style="501" customWidth="1"/>
    <col min="10250" max="10496" width="11.42578125" style="501"/>
    <col min="10497" max="10497" width="20.28515625" style="501" customWidth="1"/>
    <col min="10498" max="10498" width="83.140625" style="501" customWidth="1"/>
    <col min="10499" max="10501" width="21.42578125" style="501" customWidth="1"/>
    <col min="10502" max="10502" width="19.5703125" style="501" customWidth="1"/>
    <col min="10503" max="10503" width="2.42578125" style="501" customWidth="1"/>
    <col min="10504" max="10505" width="5.140625" style="501" customWidth="1"/>
    <col min="10506" max="10752" width="11.42578125" style="501"/>
    <col min="10753" max="10753" width="20.28515625" style="501" customWidth="1"/>
    <col min="10754" max="10754" width="83.140625" style="501" customWidth="1"/>
    <col min="10755" max="10757" width="21.42578125" style="501" customWidth="1"/>
    <col min="10758" max="10758" width="19.5703125" style="501" customWidth="1"/>
    <col min="10759" max="10759" width="2.42578125" style="501" customWidth="1"/>
    <col min="10760" max="10761" width="5.140625" style="501" customWidth="1"/>
    <col min="10762" max="11008" width="11.42578125" style="501"/>
    <col min="11009" max="11009" width="20.28515625" style="501" customWidth="1"/>
    <col min="11010" max="11010" width="83.140625" style="501" customWidth="1"/>
    <col min="11011" max="11013" width="21.42578125" style="501" customWidth="1"/>
    <col min="11014" max="11014" width="19.5703125" style="501" customWidth="1"/>
    <col min="11015" max="11015" width="2.42578125" style="501" customWidth="1"/>
    <col min="11016" max="11017" width="5.140625" style="501" customWidth="1"/>
    <col min="11018" max="11264" width="11.42578125" style="501"/>
    <col min="11265" max="11265" width="20.28515625" style="501" customWidth="1"/>
    <col min="11266" max="11266" width="83.140625" style="501" customWidth="1"/>
    <col min="11267" max="11269" width="21.42578125" style="501" customWidth="1"/>
    <col min="11270" max="11270" width="19.5703125" style="501" customWidth="1"/>
    <col min="11271" max="11271" width="2.42578125" style="501" customWidth="1"/>
    <col min="11272" max="11273" width="5.140625" style="501" customWidth="1"/>
    <col min="11274" max="11520" width="11.42578125" style="501"/>
    <col min="11521" max="11521" width="20.28515625" style="501" customWidth="1"/>
    <col min="11522" max="11522" width="83.140625" style="501" customWidth="1"/>
    <col min="11523" max="11525" width="21.42578125" style="501" customWidth="1"/>
    <col min="11526" max="11526" width="19.5703125" style="501" customWidth="1"/>
    <col min="11527" max="11527" width="2.42578125" style="501" customWidth="1"/>
    <col min="11528" max="11529" width="5.140625" style="501" customWidth="1"/>
    <col min="11530" max="11776" width="11.42578125" style="501"/>
    <col min="11777" max="11777" width="20.28515625" style="501" customWidth="1"/>
    <col min="11778" max="11778" width="83.140625" style="501" customWidth="1"/>
    <col min="11779" max="11781" width="21.42578125" style="501" customWidth="1"/>
    <col min="11782" max="11782" width="19.5703125" style="501" customWidth="1"/>
    <col min="11783" max="11783" width="2.42578125" style="501" customWidth="1"/>
    <col min="11784" max="11785" width="5.140625" style="501" customWidth="1"/>
    <col min="11786" max="12032" width="11.42578125" style="501"/>
    <col min="12033" max="12033" width="20.28515625" style="501" customWidth="1"/>
    <col min="12034" max="12034" width="83.140625" style="501" customWidth="1"/>
    <col min="12035" max="12037" width="21.42578125" style="501" customWidth="1"/>
    <col min="12038" max="12038" width="19.5703125" style="501" customWidth="1"/>
    <col min="12039" max="12039" width="2.42578125" style="501" customWidth="1"/>
    <col min="12040" max="12041" width="5.140625" style="501" customWidth="1"/>
    <col min="12042" max="12288" width="11.42578125" style="501"/>
    <col min="12289" max="12289" width="20.28515625" style="501" customWidth="1"/>
    <col min="12290" max="12290" width="83.140625" style="501" customWidth="1"/>
    <col min="12291" max="12293" width="21.42578125" style="501" customWidth="1"/>
    <col min="12294" max="12294" width="19.5703125" style="501" customWidth="1"/>
    <col min="12295" max="12295" width="2.42578125" style="501" customWidth="1"/>
    <col min="12296" max="12297" width="5.140625" style="501" customWidth="1"/>
    <col min="12298" max="12544" width="11.42578125" style="501"/>
    <col min="12545" max="12545" width="20.28515625" style="501" customWidth="1"/>
    <col min="12546" max="12546" width="83.140625" style="501" customWidth="1"/>
    <col min="12547" max="12549" width="21.42578125" style="501" customWidth="1"/>
    <col min="12550" max="12550" width="19.5703125" style="501" customWidth="1"/>
    <col min="12551" max="12551" width="2.42578125" style="501" customWidth="1"/>
    <col min="12552" max="12553" width="5.140625" style="501" customWidth="1"/>
    <col min="12554" max="12800" width="11.42578125" style="501"/>
    <col min="12801" max="12801" width="20.28515625" style="501" customWidth="1"/>
    <col min="12802" max="12802" width="83.140625" style="501" customWidth="1"/>
    <col min="12803" max="12805" width="21.42578125" style="501" customWidth="1"/>
    <col min="12806" max="12806" width="19.5703125" style="501" customWidth="1"/>
    <col min="12807" max="12807" width="2.42578125" style="501" customWidth="1"/>
    <col min="12808" max="12809" width="5.140625" style="501" customWidth="1"/>
    <col min="12810" max="13056" width="11.42578125" style="501"/>
    <col min="13057" max="13057" width="20.28515625" style="501" customWidth="1"/>
    <col min="13058" max="13058" width="83.140625" style="501" customWidth="1"/>
    <col min="13059" max="13061" width="21.42578125" style="501" customWidth="1"/>
    <col min="13062" max="13062" width="19.5703125" style="501" customWidth="1"/>
    <col min="13063" max="13063" width="2.42578125" style="501" customWidth="1"/>
    <col min="13064" max="13065" width="5.140625" style="501" customWidth="1"/>
    <col min="13066" max="13312" width="11.42578125" style="501"/>
    <col min="13313" max="13313" width="20.28515625" style="501" customWidth="1"/>
    <col min="13314" max="13314" width="83.140625" style="501" customWidth="1"/>
    <col min="13315" max="13317" width="21.42578125" style="501" customWidth="1"/>
    <col min="13318" max="13318" width="19.5703125" style="501" customWidth="1"/>
    <col min="13319" max="13319" width="2.42578125" style="501" customWidth="1"/>
    <col min="13320" max="13321" width="5.140625" style="501" customWidth="1"/>
    <col min="13322" max="13568" width="11.42578125" style="501"/>
    <col min="13569" max="13569" width="20.28515625" style="501" customWidth="1"/>
    <col min="13570" max="13570" width="83.140625" style="501" customWidth="1"/>
    <col min="13571" max="13573" width="21.42578125" style="501" customWidth="1"/>
    <col min="13574" max="13574" width="19.5703125" style="501" customWidth="1"/>
    <col min="13575" max="13575" width="2.42578125" style="501" customWidth="1"/>
    <col min="13576" max="13577" width="5.140625" style="501" customWidth="1"/>
    <col min="13578" max="13824" width="11.42578125" style="501"/>
    <col min="13825" max="13825" width="20.28515625" style="501" customWidth="1"/>
    <col min="13826" max="13826" width="83.140625" style="501" customWidth="1"/>
    <col min="13827" max="13829" width="21.42578125" style="501" customWidth="1"/>
    <col min="13830" max="13830" width="19.5703125" style="501" customWidth="1"/>
    <col min="13831" max="13831" width="2.42578125" style="501" customWidth="1"/>
    <col min="13832" max="13833" width="5.140625" style="501" customWidth="1"/>
    <col min="13834" max="14080" width="11.42578125" style="501"/>
    <col min="14081" max="14081" width="20.28515625" style="501" customWidth="1"/>
    <col min="14082" max="14082" width="83.140625" style="501" customWidth="1"/>
    <col min="14083" max="14085" width="21.42578125" style="501" customWidth="1"/>
    <col min="14086" max="14086" width="19.5703125" style="501" customWidth="1"/>
    <col min="14087" max="14087" width="2.42578125" style="501" customWidth="1"/>
    <col min="14088" max="14089" width="5.140625" style="501" customWidth="1"/>
    <col min="14090" max="14336" width="11.42578125" style="501"/>
    <col min="14337" max="14337" width="20.28515625" style="501" customWidth="1"/>
    <col min="14338" max="14338" width="83.140625" style="501" customWidth="1"/>
    <col min="14339" max="14341" width="21.42578125" style="501" customWidth="1"/>
    <col min="14342" max="14342" width="19.5703125" style="501" customWidth="1"/>
    <col min="14343" max="14343" width="2.42578125" style="501" customWidth="1"/>
    <col min="14344" max="14345" width="5.140625" style="501" customWidth="1"/>
    <col min="14346" max="14592" width="11.42578125" style="501"/>
    <col min="14593" max="14593" width="20.28515625" style="501" customWidth="1"/>
    <col min="14594" max="14594" width="83.140625" style="501" customWidth="1"/>
    <col min="14595" max="14597" width="21.42578125" style="501" customWidth="1"/>
    <col min="14598" max="14598" width="19.5703125" style="501" customWidth="1"/>
    <col min="14599" max="14599" width="2.42578125" style="501" customWidth="1"/>
    <col min="14600" max="14601" width="5.140625" style="501" customWidth="1"/>
    <col min="14602" max="14848" width="11.42578125" style="501"/>
    <col min="14849" max="14849" width="20.28515625" style="501" customWidth="1"/>
    <col min="14850" max="14850" width="83.140625" style="501" customWidth="1"/>
    <col min="14851" max="14853" width="21.42578125" style="501" customWidth="1"/>
    <col min="14854" max="14854" width="19.5703125" style="501" customWidth="1"/>
    <col min="14855" max="14855" width="2.42578125" style="501" customWidth="1"/>
    <col min="14856" max="14857" width="5.140625" style="501" customWidth="1"/>
    <col min="14858" max="15104" width="11.42578125" style="501"/>
    <col min="15105" max="15105" width="20.28515625" style="501" customWidth="1"/>
    <col min="15106" max="15106" width="83.140625" style="501" customWidth="1"/>
    <col min="15107" max="15109" width="21.42578125" style="501" customWidth="1"/>
    <col min="15110" max="15110" width="19.5703125" style="501" customWidth="1"/>
    <col min="15111" max="15111" width="2.42578125" style="501" customWidth="1"/>
    <col min="15112" max="15113" width="5.140625" style="501" customWidth="1"/>
    <col min="15114" max="15360" width="11.42578125" style="501"/>
    <col min="15361" max="15361" width="20.28515625" style="501" customWidth="1"/>
    <col min="15362" max="15362" width="83.140625" style="501" customWidth="1"/>
    <col min="15363" max="15365" width="21.42578125" style="501" customWidth="1"/>
    <col min="15366" max="15366" width="19.5703125" style="501" customWidth="1"/>
    <col min="15367" max="15367" width="2.42578125" style="501" customWidth="1"/>
    <col min="15368" max="15369" width="5.140625" style="501" customWidth="1"/>
    <col min="15370" max="15616" width="11.42578125" style="501"/>
    <col min="15617" max="15617" width="20.28515625" style="501" customWidth="1"/>
    <col min="15618" max="15618" width="83.140625" style="501" customWidth="1"/>
    <col min="15619" max="15621" width="21.42578125" style="501" customWidth="1"/>
    <col min="15622" max="15622" width="19.5703125" style="501" customWidth="1"/>
    <col min="15623" max="15623" width="2.42578125" style="501" customWidth="1"/>
    <col min="15624" max="15625" width="5.140625" style="501" customWidth="1"/>
    <col min="15626" max="15872" width="11.42578125" style="501"/>
    <col min="15873" max="15873" width="20.28515625" style="501" customWidth="1"/>
    <col min="15874" max="15874" width="83.140625" style="501" customWidth="1"/>
    <col min="15875" max="15877" width="21.42578125" style="501" customWidth="1"/>
    <col min="15878" max="15878" width="19.5703125" style="501" customWidth="1"/>
    <col min="15879" max="15879" width="2.42578125" style="501" customWidth="1"/>
    <col min="15880" max="15881" width="5.140625" style="501" customWidth="1"/>
    <col min="15882" max="16128" width="11.42578125" style="501"/>
    <col min="16129" max="16129" width="20.28515625" style="501" customWidth="1"/>
    <col min="16130" max="16130" width="83.140625" style="501" customWidth="1"/>
    <col min="16131" max="16133" width="21.42578125" style="501" customWidth="1"/>
    <col min="16134" max="16134" width="19.5703125" style="501" customWidth="1"/>
    <col min="16135" max="16135" width="2.42578125" style="501" customWidth="1"/>
    <col min="16136" max="16137" width="5.140625" style="501" customWidth="1"/>
    <col min="16138" max="16384" width="11.42578125" style="501"/>
  </cols>
  <sheetData>
    <row r="1" spans="1:7" ht="12.75" x14ac:dyDescent="0.2">
      <c r="A1" s="256" t="s">
        <v>0</v>
      </c>
      <c r="B1" s="257"/>
      <c r="C1" s="577" t="s">
        <v>1</v>
      </c>
      <c r="D1" s="578"/>
      <c r="E1" s="579"/>
      <c r="F1" s="258"/>
    </row>
    <row r="2" spans="1:7" ht="12.75" x14ac:dyDescent="0.2">
      <c r="A2" s="256" t="str">
        <f>CONCATENATE("COMUNA: ",[9]NOMBRE!B2," - ","( ",[9]NOMBRE!C2,[9]NOMBRE!D2,[9]NOMBRE!E2,[9]NOMBRE!F2,[9]NOMBRE!G2," )")</f>
        <v>COMUNA: LINARES - ( 07401 )</v>
      </c>
      <c r="B2" s="257"/>
      <c r="C2" s="580"/>
      <c r="D2" s="581"/>
      <c r="E2" s="582"/>
      <c r="F2" s="259"/>
      <c r="G2" s="260"/>
    </row>
    <row r="3" spans="1:7" ht="12.75" x14ac:dyDescent="0.2">
      <c r="A3" s="256" t="str">
        <f>CONCATENATE("ESTABLECIMIENTO/ESTRATEGIA: ",[9]NOMBRE!B3," - ","( ",[9]NOMBRE!C3,[9]NOMBRE!D3,[9]NOMBRE!E3,[9]NOMBRE!F3,[9]NOMBRE!G3,[9]NOMBRE!H3," )")</f>
        <v>ESTABLECIMIENTO/ESTRATEGIA: HOSPITAL DE LINARES  - ( 116108 )</v>
      </c>
      <c r="B3" s="257"/>
      <c r="C3" s="577" t="s">
        <v>2</v>
      </c>
      <c r="D3" s="578"/>
      <c r="E3" s="579"/>
      <c r="F3" s="259"/>
      <c r="G3" s="261"/>
    </row>
    <row r="4" spans="1:7" ht="12.75" x14ac:dyDescent="0.2">
      <c r="A4" s="256" t="str">
        <f>CONCATENATE("MES: ",[9]NOMBRE!B6," - ","( ",[9]NOMBRE!C6,[9]NOMBRE!D6," )")</f>
        <v>MES: SEPTIEMBRE - ( 09 )</v>
      </c>
      <c r="B4" s="257"/>
      <c r="C4" s="580" t="str">
        <f>CONCATENATE([9]NOMBRE!B6," ","( ",[9]NOMBRE!C6,[9]NOMBRE!D6," )")</f>
        <v>SEPTIEMBRE ( 09 )</v>
      </c>
      <c r="D4" s="581"/>
      <c r="E4" s="582"/>
      <c r="F4" s="259"/>
      <c r="G4" s="261"/>
    </row>
    <row r="5" spans="1:7" ht="12.75" x14ac:dyDescent="0.2">
      <c r="A5" s="256" t="str">
        <f>CONCATENATE("AÑO: ",[9]NOMBRE!B7)</f>
        <v>AÑO: 2014</v>
      </c>
      <c r="B5" s="257"/>
      <c r="C5" s="577" t="s">
        <v>3</v>
      </c>
      <c r="D5" s="578"/>
      <c r="E5" s="579"/>
      <c r="F5" s="259"/>
      <c r="G5" s="261"/>
    </row>
    <row r="6" spans="1:7" ht="12.75" x14ac:dyDescent="0.2">
      <c r="A6" s="262"/>
      <c r="B6" s="262"/>
      <c r="C6" s="580">
        <f>[9]NOMBRE!B7</f>
        <v>2014</v>
      </c>
      <c r="D6" s="581"/>
      <c r="E6" s="582"/>
      <c r="F6" s="259"/>
      <c r="G6" s="261"/>
    </row>
    <row r="7" spans="1:7" ht="15" x14ac:dyDescent="0.2">
      <c r="A7" s="589" t="s">
        <v>4</v>
      </c>
      <c r="B7" s="590"/>
      <c r="C7" s="594" t="s">
        <v>5</v>
      </c>
      <c r="D7" s="595"/>
      <c r="E7" s="596"/>
      <c r="F7" s="259"/>
      <c r="G7" s="261"/>
    </row>
    <row r="8" spans="1:7" ht="15" x14ac:dyDescent="0.2">
      <c r="A8" s="262"/>
      <c r="B8" s="523" t="s">
        <v>6</v>
      </c>
      <c r="C8" s="580" t="str">
        <f>CONCATENATE([9]NOMBRE!B3," ","( ",[9]NOMBRE!C3,[9]NOMBRE!D3,[9]NOMBRE!E3,[9]NOMBRE!F3,[9]NOMBRE!G3," )")</f>
        <v>HOSPITAL DE LINARES  ( 11610 )</v>
      </c>
      <c r="D8" s="581"/>
      <c r="E8" s="582"/>
      <c r="F8" s="259"/>
      <c r="G8" s="261"/>
    </row>
    <row r="9" spans="1:7" ht="12.75" x14ac:dyDescent="0.2">
      <c r="A9" s="262"/>
      <c r="B9" s="262"/>
      <c r="C9" s="262"/>
      <c r="D9" s="262"/>
      <c r="E9" s="262"/>
      <c r="F9" s="259"/>
      <c r="G9" s="261"/>
    </row>
    <row r="10" spans="1:7" ht="12.75" x14ac:dyDescent="0.2">
      <c r="A10" s="262"/>
      <c r="B10" s="262"/>
      <c r="C10" s="262"/>
      <c r="D10" s="262"/>
      <c r="E10" s="262"/>
      <c r="F10" s="259"/>
      <c r="G10" s="263"/>
    </row>
    <row r="11" spans="1:7" ht="12.75" x14ac:dyDescent="0.2">
      <c r="A11" s="583" t="s">
        <v>7</v>
      </c>
      <c r="B11" s="584"/>
      <c r="C11" s="584"/>
      <c r="D11" s="584"/>
      <c r="E11" s="585"/>
      <c r="F11" s="259"/>
    </row>
    <row r="12" spans="1:7" ht="43.5" customHeight="1" x14ac:dyDescent="0.2">
      <c r="A12" s="264" t="s">
        <v>8</v>
      </c>
      <c r="B12" s="264" t="s">
        <v>9</v>
      </c>
      <c r="C12" s="517" t="s">
        <v>10</v>
      </c>
      <c r="D12" s="310" t="s">
        <v>11</v>
      </c>
      <c r="E12" s="519" t="s">
        <v>12</v>
      </c>
      <c r="F12" s="262"/>
    </row>
    <row r="13" spans="1:7" ht="12.75" customHeight="1" x14ac:dyDescent="0.2">
      <c r="A13" s="586" t="s">
        <v>13</v>
      </c>
      <c r="B13" s="587"/>
      <c r="C13" s="587"/>
      <c r="D13" s="587"/>
      <c r="E13" s="588"/>
      <c r="F13" s="262"/>
    </row>
    <row r="14" spans="1:7" ht="15" customHeight="1" x14ac:dyDescent="0.2">
      <c r="A14" s="434" t="s">
        <v>14</v>
      </c>
      <c r="B14" s="443" t="s">
        <v>15</v>
      </c>
      <c r="C14" s="380">
        <f>[9]BS17A!$D13</f>
        <v>0</v>
      </c>
      <c r="D14" s="267">
        <f>[9]BS17A!$U13</f>
        <v>4170</v>
      </c>
      <c r="E14" s="268">
        <f>[9]BS17A!$V13</f>
        <v>0</v>
      </c>
      <c r="F14" s="262"/>
    </row>
    <row r="15" spans="1:7" ht="15" customHeight="1" x14ac:dyDescent="0.2">
      <c r="A15" s="435" t="s">
        <v>16</v>
      </c>
      <c r="B15" s="431" t="s">
        <v>17</v>
      </c>
      <c r="C15" s="380">
        <f>[9]BS17A!$D14</f>
        <v>0</v>
      </c>
      <c r="D15" s="270">
        <f>[9]BS17A!$U14</f>
        <v>5240</v>
      </c>
      <c r="E15" s="271">
        <f>[9]BS17A!$V14</f>
        <v>0</v>
      </c>
      <c r="F15" s="262"/>
    </row>
    <row r="16" spans="1:7" ht="15" customHeight="1" x14ac:dyDescent="0.2">
      <c r="A16" s="435" t="s">
        <v>18</v>
      </c>
      <c r="B16" s="431" t="s">
        <v>19</v>
      </c>
      <c r="C16" s="380">
        <f>[9]BS17A!$D15</f>
        <v>6246</v>
      </c>
      <c r="D16" s="270">
        <f>[9]BS17A!$U15</f>
        <v>11250</v>
      </c>
      <c r="E16" s="271">
        <f>[9]BS17A!$V15</f>
        <v>70267500</v>
      </c>
      <c r="F16" s="262"/>
    </row>
    <row r="17" spans="1:6" ht="15" customHeight="1" x14ac:dyDescent="0.2">
      <c r="A17" s="435" t="s">
        <v>20</v>
      </c>
      <c r="B17" s="431" t="s">
        <v>21</v>
      </c>
      <c r="C17" s="380">
        <f>[9]BS17A!$D16</f>
        <v>0</v>
      </c>
      <c r="D17" s="270">
        <f>[9]BS17A!$U16</f>
        <v>6720</v>
      </c>
      <c r="E17" s="271">
        <f>[9]BS17A!$V16</f>
        <v>0</v>
      </c>
      <c r="F17" s="262"/>
    </row>
    <row r="18" spans="1:6" ht="15" customHeight="1" x14ac:dyDescent="0.2">
      <c r="A18" s="435" t="s">
        <v>22</v>
      </c>
      <c r="B18" s="431" t="s">
        <v>23</v>
      </c>
      <c r="C18" s="380">
        <f>[9]BS17A!$D17</f>
        <v>0</v>
      </c>
      <c r="D18" s="270">
        <f>[9]BS17A!$U17</f>
        <v>7370</v>
      </c>
      <c r="E18" s="271">
        <f>[9]BS17A!$V17</f>
        <v>0</v>
      </c>
      <c r="F18" s="262"/>
    </row>
    <row r="19" spans="1:6" ht="33" customHeight="1" x14ac:dyDescent="0.2">
      <c r="A19" s="435" t="s">
        <v>24</v>
      </c>
      <c r="B19" s="485" t="s">
        <v>25</v>
      </c>
      <c r="C19" s="380">
        <f>[9]BS17A!$D20</f>
        <v>0</v>
      </c>
      <c r="D19" s="270">
        <f>[9]BS17A!$U20</f>
        <v>5690</v>
      </c>
      <c r="E19" s="271">
        <f>[9]BS17A!$V20</f>
        <v>0</v>
      </c>
      <c r="F19" s="262"/>
    </row>
    <row r="20" spans="1:6" ht="42.75" customHeight="1" x14ac:dyDescent="0.2">
      <c r="A20" s="435" t="s">
        <v>26</v>
      </c>
      <c r="B20" s="485" t="s">
        <v>27</v>
      </c>
      <c r="C20" s="380">
        <f>[9]BS17A!$D21</f>
        <v>0</v>
      </c>
      <c r="D20" s="270">
        <f>[9]BS17A!$U21</f>
        <v>6820</v>
      </c>
      <c r="E20" s="271">
        <f>[9]BS17A!$V21</f>
        <v>0</v>
      </c>
      <c r="F20" s="262"/>
    </row>
    <row r="21" spans="1:6" ht="42.75" customHeight="1" x14ac:dyDescent="0.2">
      <c r="A21" s="435" t="s">
        <v>28</v>
      </c>
      <c r="B21" s="485" t="s">
        <v>29</v>
      </c>
      <c r="C21" s="380">
        <f>[9]BS17A!$D22</f>
        <v>0</v>
      </c>
      <c r="D21" s="270">
        <f>[9]BS17A!$U22</f>
        <v>8460</v>
      </c>
      <c r="E21" s="271">
        <f>[9]BS17A!$V22</f>
        <v>0</v>
      </c>
      <c r="F21" s="262"/>
    </row>
    <row r="22" spans="1:6" ht="32.25" customHeight="1" x14ac:dyDescent="0.2">
      <c r="A22" s="435" t="s">
        <v>30</v>
      </c>
      <c r="B22" s="485" t="s">
        <v>31</v>
      </c>
      <c r="C22" s="380">
        <f>[9]BS17A!$D23</f>
        <v>2143</v>
      </c>
      <c r="D22" s="270">
        <f>[9]BS17A!$U23</f>
        <v>5690</v>
      </c>
      <c r="E22" s="271">
        <f>[9]BS17A!$V23</f>
        <v>12193670</v>
      </c>
      <c r="F22" s="262"/>
    </row>
    <row r="23" spans="1:6" ht="40.5" customHeight="1" x14ac:dyDescent="0.2">
      <c r="A23" s="435" t="s">
        <v>32</v>
      </c>
      <c r="B23" s="485" t="s">
        <v>33</v>
      </c>
      <c r="C23" s="380">
        <f>[9]BS17A!$D24</f>
        <v>1399</v>
      </c>
      <c r="D23" s="270">
        <f>[9]BS17A!$U24</f>
        <v>6820</v>
      </c>
      <c r="E23" s="271">
        <f>[9]BS17A!$V24</f>
        <v>9541180</v>
      </c>
      <c r="F23" s="262"/>
    </row>
    <row r="24" spans="1:6" ht="27" customHeight="1" x14ac:dyDescent="0.2">
      <c r="A24" s="435" t="s">
        <v>34</v>
      </c>
      <c r="B24" s="485" t="s">
        <v>35</v>
      </c>
      <c r="C24" s="380">
        <f>[9]BS17A!$D25</f>
        <v>2368</v>
      </c>
      <c r="D24" s="270">
        <f>[9]BS17A!$U25</f>
        <v>8460</v>
      </c>
      <c r="E24" s="271">
        <f>[9]BS17A!$V25</f>
        <v>20033280</v>
      </c>
      <c r="F24" s="262"/>
    </row>
    <row r="25" spans="1:6" ht="15" customHeight="1" x14ac:dyDescent="0.2">
      <c r="A25" s="435" t="s">
        <v>36</v>
      </c>
      <c r="B25" s="430" t="s">
        <v>37</v>
      </c>
      <c r="C25" s="380">
        <f>+[9]BS17A!$D795</f>
        <v>223</v>
      </c>
      <c r="D25" s="270">
        <f>+[9]BS17A!$U795</f>
        <v>6900</v>
      </c>
      <c r="E25" s="271">
        <f>+[9]BS17A!$V795</f>
        <v>1538700</v>
      </c>
      <c r="F25" s="262"/>
    </row>
    <row r="26" spans="1:6" ht="15" customHeight="1" x14ac:dyDescent="0.2">
      <c r="A26" s="436" t="s">
        <v>38</v>
      </c>
      <c r="B26" s="450" t="s">
        <v>39</v>
      </c>
      <c r="C26" s="395">
        <f>+[9]BS17A!$D800</f>
        <v>0</v>
      </c>
      <c r="D26" s="272">
        <f>+[9]BS17A!$U800</f>
        <v>28580</v>
      </c>
      <c r="E26" s="273">
        <f>+[9]BS17A!$V800</f>
        <v>0</v>
      </c>
      <c r="F26" s="262"/>
    </row>
    <row r="27" spans="1:6" ht="18" customHeight="1" x14ac:dyDescent="0.2">
      <c r="A27" s="586" t="s">
        <v>40</v>
      </c>
      <c r="B27" s="587"/>
      <c r="C27" s="587"/>
      <c r="D27" s="587"/>
      <c r="E27" s="588"/>
      <c r="F27" s="262"/>
    </row>
    <row r="28" spans="1:6" ht="15" customHeight="1" x14ac:dyDescent="0.2">
      <c r="A28" s="434" t="s">
        <v>41</v>
      </c>
      <c r="B28" s="443" t="s">
        <v>42</v>
      </c>
      <c r="C28" s="383">
        <f>[9]BS17A!$D27</f>
        <v>1770</v>
      </c>
      <c r="D28" s="267">
        <f>[9]BS17A!$U27</f>
        <v>1110</v>
      </c>
      <c r="E28" s="268">
        <f>[9]BS17A!$V27</f>
        <v>1964700</v>
      </c>
      <c r="F28" s="262"/>
    </row>
    <row r="29" spans="1:6" ht="15" customHeight="1" x14ac:dyDescent="0.2">
      <c r="A29" s="435" t="s">
        <v>43</v>
      </c>
      <c r="B29" s="449" t="s">
        <v>44</v>
      </c>
      <c r="C29" s="380">
        <f>[9]BS17A!$D28</f>
        <v>0</v>
      </c>
      <c r="D29" s="270">
        <f>[9]BS17A!$U28</f>
        <v>1900</v>
      </c>
      <c r="E29" s="271">
        <f>[9]BS17A!$V28</f>
        <v>0</v>
      </c>
      <c r="F29" s="262"/>
    </row>
    <row r="30" spans="1:6" ht="15" customHeight="1" x14ac:dyDescent="0.2">
      <c r="A30" s="435" t="s">
        <v>45</v>
      </c>
      <c r="B30" s="431" t="s">
        <v>46</v>
      </c>
      <c r="C30" s="380">
        <f>[9]BS17A!$D29</f>
        <v>0</v>
      </c>
      <c r="D30" s="270">
        <f>[9]BS17A!$U29</f>
        <v>610</v>
      </c>
      <c r="E30" s="271">
        <f>[9]BS17A!$V29</f>
        <v>0</v>
      </c>
      <c r="F30" s="262"/>
    </row>
    <row r="31" spans="1:6" ht="15" customHeight="1" x14ac:dyDescent="0.2">
      <c r="A31" s="435" t="s">
        <v>47</v>
      </c>
      <c r="B31" s="431" t="s">
        <v>48</v>
      </c>
      <c r="C31" s="380">
        <f>[9]BS17A!$D30</f>
        <v>151</v>
      </c>
      <c r="D31" s="270">
        <f>[9]BS17A!$U30</f>
        <v>1500</v>
      </c>
      <c r="E31" s="271">
        <f>[9]BS17A!$V30</f>
        <v>226500</v>
      </c>
      <c r="F31" s="262"/>
    </row>
    <row r="32" spans="1:6" ht="15" customHeight="1" x14ac:dyDescent="0.2">
      <c r="A32" s="435" t="s">
        <v>49</v>
      </c>
      <c r="B32" s="431" t="s">
        <v>50</v>
      </c>
      <c r="C32" s="380">
        <f>[9]BS17A!$D31</f>
        <v>813</v>
      </c>
      <c r="D32" s="270">
        <f>[9]BS17A!$U31</f>
        <v>1210</v>
      </c>
      <c r="E32" s="271">
        <f>[9]BS17A!$V31</f>
        <v>983730</v>
      </c>
      <c r="F32" s="262"/>
    </row>
    <row r="33" spans="1:6" ht="15" customHeight="1" x14ac:dyDescent="0.2">
      <c r="A33" s="435" t="s">
        <v>51</v>
      </c>
      <c r="B33" s="449" t="s">
        <v>52</v>
      </c>
      <c r="C33" s="380">
        <f>[9]BS17A!$D32</f>
        <v>0</v>
      </c>
      <c r="D33" s="270">
        <f>[9]BS17A!$U32</f>
        <v>1110</v>
      </c>
      <c r="E33" s="271">
        <f>[9]BS17A!$V32</f>
        <v>0</v>
      </c>
      <c r="F33" s="262"/>
    </row>
    <row r="34" spans="1:6" ht="15" customHeight="1" x14ac:dyDescent="0.2">
      <c r="A34" s="435" t="s">
        <v>53</v>
      </c>
      <c r="B34" s="431" t="s">
        <v>54</v>
      </c>
      <c r="C34" s="380">
        <f>+[9]BS17A!$D796</f>
        <v>290</v>
      </c>
      <c r="D34" s="270">
        <f>+[9]BS17A!$U796</f>
        <v>2700</v>
      </c>
      <c r="E34" s="271">
        <f>+[9]BS17A!$V796</f>
        <v>783000</v>
      </c>
      <c r="F34" s="262"/>
    </row>
    <row r="35" spans="1:6" ht="15" customHeight="1" x14ac:dyDescent="0.2">
      <c r="A35" s="435" t="s">
        <v>55</v>
      </c>
      <c r="B35" s="449" t="s">
        <v>56</v>
      </c>
      <c r="C35" s="380">
        <f>+[9]BS17A!$D797</f>
        <v>533</v>
      </c>
      <c r="D35" s="270">
        <f>+[9]BS17A!$U797</f>
        <v>2700</v>
      </c>
      <c r="E35" s="271">
        <f>+[9]BS17A!$V797</f>
        <v>1439100</v>
      </c>
      <c r="F35" s="262"/>
    </row>
    <row r="36" spans="1:6" ht="15" customHeight="1" x14ac:dyDescent="0.2">
      <c r="A36" s="435" t="s">
        <v>57</v>
      </c>
      <c r="B36" s="449" t="s">
        <v>58</v>
      </c>
      <c r="C36" s="380">
        <f>+[9]BS17A!$D798</f>
        <v>3</v>
      </c>
      <c r="D36" s="270">
        <f>+[9]BS17A!$U798</f>
        <v>10760</v>
      </c>
      <c r="E36" s="271">
        <f>+[9]BS17A!$V798</f>
        <v>32280</v>
      </c>
      <c r="F36" s="262"/>
    </row>
    <row r="37" spans="1:6" ht="15" customHeight="1" x14ac:dyDescent="0.2">
      <c r="A37" s="436" t="s">
        <v>59</v>
      </c>
      <c r="B37" s="484" t="s">
        <v>60</v>
      </c>
      <c r="C37" s="395">
        <f>+[9]BS17A!$D799</f>
        <v>75</v>
      </c>
      <c r="D37" s="272">
        <f>+[9]BS17A!$U799</f>
        <v>12600</v>
      </c>
      <c r="E37" s="273">
        <f>+[9]BS17A!$V799</f>
        <v>945000</v>
      </c>
      <c r="F37" s="262"/>
    </row>
    <row r="38" spans="1:6" ht="18" customHeight="1" x14ac:dyDescent="0.2">
      <c r="A38" s="591" t="s">
        <v>61</v>
      </c>
      <c r="B38" s="592"/>
      <c r="C38" s="592"/>
      <c r="D38" s="592"/>
      <c r="E38" s="593"/>
      <c r="F38" s="262"/>
    </row>
    <row r="39" spans="1:6" ht="15" customHeight="1" x14ac:dyDescent="0.2">
      <c r="A39" s="434" t="s">
        <v>62</v>
      </c>
      <c r="B39" s="429" t="s">
        <v>63</v>
      </c>
      <c r="C39" s="383">
        <f>+[9]BS17A!$D801</f>
        <v>0</v>
      </c>
      <c r="D39" s="275">
        <f>+[9]BS17A!$U801</f>
        <v>3550</v>
      </c>
      <c r="E39" s="276">
        <f>+[9]BS17A!$V801</f>
        <v>0</v>
      </c>
      <c r="F39" s="262"/>
    </row>
    <row r="40" spans="1:6" ht="15" customHeight="1" x14ac:dyDescent="0.2">
      <c r="A40" s="436" t="s">
        <v>64</v>
      </c>
      <c r="B40" s="444" t="s">
        <v>65</v>
      </c>
      <c r="C40" s="395">
        <f>+[9]BS17A!$D802</f>
        <v>0</v>
      </c>
      <c r="D40" s="277">
        <f>+[9]BS17A!$U802</f>
        <v>9180</v>
      </c>
      <c r="E40" s="278">
        <f>+[9]BS17A!$V802</f>
        <v>0</v>
      </c>
      <c r="F40" s="262"/>
    </row>
    <row r="41" spans="1:6" ht="18" customHeight="1" x14ac:dyDescent="0.2">
      <c r="A41" s="591" t="s">
        <v>66</v>
      </c>
      <c r="B41" s="592"/>
      <c r="C41" s="592"/>
      <c r="D41" s="592"/>
      <c r="E41" s="593"/>
      <c r="F41" s="262"/>
    </row>
    <row r="42" spans="1:6" ht="15" customHeight="1" x14ac:dyDescent="0.2">
      <c r="A42" s="434" t="s">
        <v>67</v>
      </c>
      <c r="B42" s="451" t="s">
        <v>68</v>
      </c>
      <c r="C42" s="383">
        <f>+[9]BS17A!$D34</f>
        <v>0</v>
      </c>
      <c r="D42" s="275">
        <f>+[9]BS17A!$U34</f>
        <v>3640</v>
      </c>
      <c r="E42" s="276">
        <f>+[9]BS17A!$V34</f>
        <v>0</v>
      </c>
      <c r="F42" s="262"/>
    </row>
    <row r="43" spans="1:6" ht="15" customHeight="1" x14ac:dyDescent="0.2">
      <c r="A43" s="435" t="s">
        <v>69</v>
      </c>
      <c r="B43" s="431" t="s">
        <v>70</v>
      </c>
      <c r="C43" s="380">
        <f>+[9]BS17A!$D35</f>
        <v>678</v>
      </c>
      <c r="D43" s="270">
        <f>+[9]BS17A!$U35</f>
        <v>2000</v>
      </c>
      <c r="E43" s="271">
        <f>+[9]BS17A!$V35</f>
        <v>1356000</v>
      </c>
      <c r="F43" s="262"/>
    </row>
    <row r="44" spans="1:6" ht="15" customHeight="1" x14ac:dyDescent="0.2">
      <c r="A44" s="435" t="s">
        <v>71</v>
      </c>
      <c r="B44" s="431" t="s">
        <v>72</v>
      </c>
      <c r="C44" s="380">
        <f>+[9]BS17A!$D36</f>
        <v>2</v>
      </c>
      <c r="D44" s="270">
        <f>+[9]BS17A!$U36</f>
        <v>2000</v>
      </c>
      <c r="E44" s="271">
        <f>+[9]BS17A!$V36</f>
        <v>4000</v>
      </c>
      <c r="F44" s="262"/>
    </row>
    <row r="45" spans="1:6" ht="15" customHeight="1" x14ac:dyDescent="0.2">
      <c r="A45" s="436" t="s">
        <v>73</v>
      </c>
      <c r="B45" s="432" t="s">
        <v>74</v>
      </c>
      <c r="C45" s="395">
        <f>+[9]BS17A!$D37</f>
        <v>717</v>
      </c>
      <c r="D45" s="277">
        <f>+[9]BS17A!$U37</f>
        <v>610</v>
      </c>
      <c r="E45" s="278">
        <f>+[9]BS17A!$V37</f>
        <v>437370</v>
      </c>
      <c r="F45" s="262"/>
    </row>
    <row r="46" spans="1:6" ht="18" customHeight="1" x14ac:dyDescent="0.2">
      <c r="A46" s="591" t="s">
        <v>75</v>
      </c>
      <c r="B46" s="592"/>
      <c r="C46" s="592"/>
      <c r="D46" s="592"/>
      <c r="E46" s="593"/>
      <c r="F46" s="262"/>
    </row>
    <row r="47" spans="1:6" ht="15" customHeight="1" x14ac:dyDescent="0.2">
      <c r="A47" s="434" t="s">
        <v>76</v>
      </c>
      <c r="B47" s="451" t="s">
        <v>77</v>
      </c>
      <c r="C47" s="383">
        <f>+[9]BS17A!$D39</f>
        <v>10</v>
      </c>
      <c r="D47" s="275">
        <f>+[9]BS17A!$U39</f>
        <v>1730</v>
      </c>
      <c r="E47" s="276">
        <f>+[9]BS17A!$V39</f>
        <v>17300</v>
      </c>
      <c r="F47" s="262"/>
    </row>
    <row r="48" spans="1:6" ht="15" customHeight="1" x14ac:dyDescent="0.2">
      <c r="A48" s="435" t="s">
        <v>78</v>
      </c>
      <c r="B48" s="431" t="s">
        <v>79</v>
      </c>
      <c r="C48" s="380">
        <f>+[9]BS17A!$D40</f>
        <v>26</v>
      </c>
      <c r="D48" s="270">
        <f>+[9]BS17A!$U40</f>
        <v>1730</v>
      </c>
      <c r="E48" s="271">
        <f>+[9]BS17A!$V40</f>
        <v>44980</v>
      </c>
      <c r="F48" s="262"/>
    </row>
    <row r="49" spans="1:7" ht="15" customHeight="1" x14ac:dyDescent="0.2">
      <c r="A49" s="436" t="s">
        <v>80</v>
      </c>
      <c r="B49" s="432" t="s">
        <v>81</v>
      </c>
      <c r="C49" s="395">
        <f>+[9]BS17A!$D41</f>
        <v>0</v>
      </c>
      <c r="D49" s="277">
        <f>+[9]BS17A!$U41</f>
        <v>1000</v>
      </c>
      <c r="E49" s="278">
        <f>+[9]BS17A!$V41</f>
        <v>0</v>
      </c>
      <c r="F49" s="262"/>
    </row>
    <row r="50" spans="1:7" ht="18" customHeight="1" x14ac:dyDescent="0.2">
      <c r="A50" s="279"/>
      <c r="B50" s="411" t="s">
        <v>82</v>
      </c>
      <c r="C50" s="279">
        <f>SUM(C14:C49)</f>
        <v>17447</v>
      </c>
      <c r="D50" s="280"/>
      <c r="E50" s="281">
        <f>SUM(E14:E49)</f>
        <v>121808290</v>
      </c>
      <c r="F50" s="262"/>
    </row>
    <row r="51" spans="1:7" ht="18" customHeight="1" x14ac:dyDescent="0.2">
      <c r="A51" s="282"/>
      <c r="B51" s="282"/>
      <c r="C51" s="282"/>
      <c r="D51" s="283"/>
      <c r="E51" s="284"/>
      <c r="F51" s="262"/>
    </row>
    <row r="52" spans="1:7" ht="12.75" x14ac:dyDescent="0.2">
      <c r="A52" s="262"/>
      <c r="B52" s="262"/>
      <c r="C52" s="262"/>
      <c r="D52" s="262"/>
      <c r="E52" s="262"/>
      <c r="F52" s="285"/>
      <c r="G52" s="286"/>
    </row>
    <row r="53" spans="1:7" ht="12.75" x14ac:dyDescent="0.2">
      <c r="A53" s="591" t="s">
        <v>83</v>
      </c>
      <c r="B53" s="592"/>
      <c r="C53" s="592"/>
      <c r="D53" s="592"/>
      <c r="E53" s="593"/>
      <c r="F53" s="285"/>
      <c r="G53" s="286"/>
    </row>
    <row r="54" spans="1:7" ht="42.75" customHeight="1" x14ac:dyDescent="0.2">
      <c r="A54" s="264" t="s">
        <v>8</v>
      </c>
      <c r="B54" s="264" t="s">
        <v>84</v>
      </c>
      <c r="C54" s="517" t="s">
        <v>10</v>
      </c>
      <c r="D54" s="311"/>
      <c r="E54" s="519" t="s">
        <v>12</v>
      </c>
      <c r="F54" s="262"/>
    </row>
    <row r="55" spans="1:7" ht="18" customHeight="1" x14ac:dyDescent="0.2">
      <c r="A55" s="521" t="s">
        <v>85</v>
      </c>
      <c r="B55" s="474" t="s">
        <v>86</v>
      </c>
      <c r="C55" s="316">
        <f>+[9]BS17!$D12</f>
        <v>59014</v>
      </c>
      <c r="D55" s="288"/>
      <c r="E55" s="289">
        <f>+E56+E57+E58+E59+E60+E61+E65+E66+E67</f>
        <v>81495540</v>
      </c>
      <c r="F55" s="262"/>
    </row>
    <row r="56" spans="1:7" ht="15" customHeight="1" x14ac:dyDescent="0.2">
      <c r="A56" s="472" t="s">
        <v>87</v>
      </c>
      <c r="B56" s="443" t="s">
        <v>88</v>
      </c>
      <c r="C56" s="426">
        <f>+[9]BS17!$D13</f>
        <v>23360</v>
      </c>
      <c r="D56" s="290"/>
      <c r="E56" s="291">
        <f>+[9]BS17A!V83</f>
        <v>23351730</v>
      </c>
      <c r="F56" s="262"/>
    </row>
    <row r="57" spans="1:7" ht="15" customHeight="1" x14ac:dyDescent="0.2">
      <c r="A57" s="435" t="s">
        <v>89</v>
      </c>
      <c r="B57" s="430" t="s">
        <v>90</v>
      </c>
      <c r="C57" s="380">
        <f>+[9]BS17!$D14</f>
        <v>24945</v>
      </c>
      <c r="D57" s="293"/>
      <c r="E57" s="294">
        <f>+[9]BS17A!V174</f>
        <v>29798910</v>
      </c>
      <c r="F57" s="262"/>
    </row>
    <row r="58" spans="1:7" ht="15" customHeight="1" x14ac:dyDescent="0.2">
      <c r="A58" s="435" t="s">
        <v>91</v>
      </c>
      <c r="B58" s="430" t="s">
        <v>92</v>
      </c>
      <c r="C58" s="380">
        <f>+[9]BS17!$D15</f>
        <v>981</v>
      </c>
      <c r="D58" s="293"/>
      <c r="E58" s="294">
        <f>+[9]BS17A!V243</f>
        <v>3441750</v>
      </c>
      <c r="F58" s="262"/>
    </row>
    <row r="59" spans="1:7" ht="15" customHeight="1" x14ac:dyDescent="0.2">
      <c r="A59" s="435" t="s">
        <v>93</v>
      </c>
      <c r="B59" s="430" t="s">
        <v>94</v>
      </c>
      <c r="C59" s="380">
        <f>+[9]BS17!$D16</f>
        <v>0</v>
      </c>
      <c r="D59" s="293"/>
      <c r="E59" s="294">
        <f>+[9]BS17A!V289</f>
        <v>0</v>
      </c>
      <c r="F59" s="262"/>
    </row>
    <row r="60" spans="1:7" ht="15" customHeight="1" x14ac:dyDescent="0.2">
      <c r="A60" s="467" t="s">
        <v>95</v>
      </c>
      <c r="B60" s="450" t="s">
        <v>96</v>
      </c>
      <c r="C60" s="410">
        <f>+[9]BS17!$D17</f>
        <v>1419</v>
      </c>
      <c r="D60" s="295"/>
      <c r="E60" s="296">
        <f>+[9]BS17A!V295</f>
        <v>6671410</v>
      </c>
      <c r="F60" s="262"/>
    </row>
    <row r="61" spans="1:7" ht="15" customHeight="1" x14ac:dyDescent="0.2">
      <c r="A61" s="434" t="s">
        <v>97</v>
      </c>
      <c r="B61" s="475" t="s">
        <v>98</v>
      </c>
      <c r="C61" s="412">
        <f>+[9]BS17!$D18</f>
        <v>5368</v>
      </c>
      <c r="D61" s="297"/>
      <c r="E61" s="298">
        <f>SUM(E62:E64)</f>
        <v>14508930</v>
      </c>
      <c r="F61" s="262"/>
    </row>
    <row r="62" spans="1:7" ht="15" customHeight="1" x14ac:dyDescent="0.2">
      <c r="A62" s="478"/>
      <c r="B62" s="451" t="s">
        <v>99</v>
      </c>
      <c r="C62" s="383">
        <f>+[9]BS17!$D19</f>
        <v>3947</v>
      </c>
      <c r="D62" s="299"/>
      <c r="E62" s="300">
        <f>+[9]BS17A!V362</f>
        <v>8888730</v>
      </c>
      <c r="F62" s="262"/>
    </row>
    <row r="63" spans="1:7" ht="15" customHeight="1" x14ac:dyDescent="0.2">
      <c r="A63" s="478"/>
      <c r="B63" s="430" t="s">
        <v>100</v>
      </c>
      <c r="C63" s="380">
        <f>+[9]BS17!$D20</f>
        <v>37</v>
      </c>
      <c r="D63" s="293"/>
      <c r="E63" s="294">
        <f>+[9]BS17A!V405</f>
        <v>95790</v>
      </c>
      <c r="F63" s="262"/>
    </row>
    <row r="64" spans="1:7" ht="15" customHeight="1" x14ac:dyDescent="0.2">
      <c r="A64" s="479"/>
      <c r="B64" s="432" t="s">
        <v>101</v>
      </c>
      <c r="C64" s="395">
        <f>+[9]BS17!$D21</f>
        <v>1384</v>
      </c>
      <c r="D64" s="301"/>
      <c r="E64" s="302">
        <f>+[9]BS17A!V428</f>
        <v>5524410</v>
      </c>
      <c r="F64" s="262"/>
    </row>
    <row r="65" spans="1:7" ht="15" customHeight="1" x14ac:dyDescent="0.2">
      <c r="A65" s="472" t="s">
        <v>102</v>
      </c>
      <c r="B65" s="471" t="s">
        <v>103</v>
      </c>
      <c r="C65" s="426">
        <f>+[9]BS17!$D22</f>
        <v>0</v>
      </c>
      <c r="D65" s="290"/>
      <c r="E65" s="291">
        <f>+[9]BS17A!V446</f>
        <v>0</v>
      </c>
      <c r="F65" s="262"/>
    </row>
    <row r="66" spans="1:7" ht="15" customHeight="1" x14ac:dyDescent="0.2">
      <c r="A66" s="435" t="s">
        <v>104</v>
      </c>
      <c r="B66" s="430" t="s">
        <v>105</v>
      </c>
      <c r="C66" s="380">
        <f>+[9]BS17!$D23</f>
        <v>87</v>
      </c>
      <c r="D66" s="293"/>
      <c r="E66" s="294">
        <f>+[9]BS17A!V456</f>
        <v>147260</v>
      </c>
      <c r="F66" s="262"/>
    </row>
    <row r="67" spans="1:7" ht="15" customHeight="1" x14ac:dyDescent="0.2">
      <c r="A67" s="467" t="s">
        <v>106</v>
      </c>
      <c r="B67" s="450" t="s">
        <v>107</v>
      </c>
      <c r="C67" s="410">
        <f>+[9]BS17!$D24</f>
        <v>2854</v>
      </c>
      <c r="D67" s="295"/>
      <c r="E67" s="296">
        <f>+[9]BS17A!V500</f>
        <v>3575550</v>
      </c>
      <c r="F67" s="262"/>
    </row>
    <row r="68" spans="1:7" ht="15" customHeight="1" x14ac:dyDescent="0.2">
      <c r="A68" s="480" t="s">
        <v>108</v>
      </c>
      <c r="B68" s="470" t="s">
        <v>109</v>
      </c>
      <c r="C68" s="427">
        <f>+[9]BS17!$D25</f>
        <v>4609</v>
      </c>
      <c r="D68" s="303"/>
      <c r="E68" s="304">
        <f>SUM(E69:E74)</f>
        <v>73841580</v>
      </c>
      <c r="F68" s="262"/>
    </row>
    <row r="69" spans="1:7" ht="15" customHeight="1" x14ac:dyDescent="0.2">
      <c r="A69" s="435" t="s">
        <v>110</v>
      </c>
      <c r="B69" s="430" t="s">
        <v>111</v>
      </c>
      <c r="C69" s="380">
        <f>+[9]BS17!$D26</f>
        <v>2769</v>
      </c>
      <c r="D69" s="293"/>
      <c r="E69" s="294">
        <f>+[9]BS17A!V535</f>
        <v>22097990</v>
      </c>
      <c r="F69" s="262"/>
    </row>
    <row r="70" spans="1:7" ht="15" customHeight="1" x14ac:dyDescent="0.2">
      <c r="A70" s="435" t="s">
        <v>112</v>
      </c>
      <c r="B70" s="430" t="s">
        <v>113</v>
      </c>
      <c r="C70" s="380">
        <f>+[9]BS17!$D27</f>
        <v>13</v>
      </c>
      <c r="D70" s="293"/>
      <c r="E70" s="294">
        <f>+[9]BS17A!V590</f>
        <v>353700</v>
      </c>
      <c r="F70" s="262"/>
    </row>
    <row r="71" spans="1:7" ht="15" customHeight="1" x14ac:dyDescent="0.2">
      <c r="A71" s="435" t="s">
        <v>114</v>
      </c>
      <c r="B71" s="430" t="s">
        <v>115</v>
      </c>
      <c r="C71" s="380">
        <f>+[9]BS17!$D28</f>
        <v>741</v>
      </c>
      <c r="D71" s="293"/>
      <c r="E71" s="294">
        <f>+[9]BS17A!V615</f>
        <v>38064330</v>
      </c>
      <c r="F71" s="262"/>
    </row>
    <row r="72" spans="1:7" ht="15" customHeight="1" x14ac:dyDescent="0.2">
      <c r="A72" s="435" t="s">
        <v>116</v>
      </c>
      <c r="B72" s="430" t="s">
        <v>117</v>
      </c>
      <c r="C72" s="380">
        <f>+[9]BS17!$D30+[9]BS17!$D32</f>
        <v>840</v>
      </c>
      <c r="D72" s="293"/>
      <c r="E72" s="294">
        <f>+[9]BS17A!V633-[9]BS17A!V634</f>
        <v>12073420</v>
      </c>
      <c r="F72" s="262"/>
    </row>
    <row r="73" spans="1:7" ht="15" customHeight="1" x14ac:dyDescent="0.2">
      <c r="A73" s="481"/>
      <c r="B73" s="430" t="s">
        <v>118</v>
      </c>
      <c r="C73" s="380">
        <f>+[9]BS17!$D31</f>
        <v>246</v>
      </c>
      <c r="D73" s="293"/>
      <c r="E73" s="294">
        <f>+[9]BS17A!V634</f>
        <v>1252140</v>
      </c>
      <c r="F73" s="262"/>
    </row>
    <row r="74" spans="1:7" ht="15" customHeight="1" x14ac:dyDescent="0.2">
      <c r="A74" s="482" t="s">
        <v>119</v>
      </c>
      <c r="B74" s="476" t="s">
        <v>120</v>
      </c>
      <c r="C74" s="417">
        <f>+[9]BS17!$D33</f>
        <v>0</v>
      </c>
      <c r="D74" s="389"/>
      <c r="E74" s="390">
        <f>+[9]BS17A!V654</f>
        <v>0</v>
      </c>
      <c r="F74" s="262"/>
    </row>
    <row r="75" spans="1:7" ht="15" customHeight="1" x14ac:dyDescent="0.2">
      <c r="A75" s="483" t="s">
        <v>121</v>
      </c>
      <c r="B75" s="477" t="s">
        <v>122</v>
      </c>
      <c r="C75" s="428">
        <f>+[9]BS17!$D34</f>
        <v>0</v>
      </c>
      <c r="D75" s="305"/>
      <c r="E75" s="306">
        <f>+[9]BS17A!V783</f>
        <v>0</v>
      </c>
      <c r="F75" s="262"/>
    </row>
    <row r="76" spans="1:7" ht="15" customHeight="1" x14ac:dyDescent="0.2">
      <c r="A76" s="437"/>
      <c r="B76" s="522" t="s">
        <v>123</v>
      </c>
      <c r="C76" s="316">
        <f>+C55+C68+C75</f>
        <v>63623</v>
      </c>
      <c r="D76" s="288"/>
      <c r="E76" s="308">
        <f>+E55+E68+E75</f>
        <v>155337120</v>
      </c>
      <c r="F76" s="262"/>
    </row>
    <row r="77" spans="1:7" ht="12.75" x14ac:dyDescent="0.2">
      <c r="A77" s="262"/>
      <c r="B77" s="262"/>
      <c r="C77" s="262"/>
      <c r="D77" s="262"/>
      <c r="E77" s="262"/>
      <c r="F77" s="285"/>
      <c r="G77" s="286"/>
    </row>
    <row r="78" spans="1:7" ht="12.75" x14ac:dyDescent="0.2">
      <c r="A78" s="262"/>
      <c r="B78" s="262"/>
      <c r="C78" s="262"/>
      <c r="D78" s="262"/>
      <c r="E78" s="262"/>
      <c r="F78" s="285"/>
      <c r="G78" s="286"/>
    </row>
    <row r="79" spans="1:7" ht="12.75" x14ac:dyDescent="0.2">
      <c r="A79" s="583" t="s">
        <v>124</v>
      </c>
      <c r="B79" s="584"/>
      <c r="C79" s="584"/>
      <c r="D79" s="584"/>
      <c r="E79" s="585"/>
      <c r="F79" s="285"/>
      <c r="G79" s="286"/>
    </row>
    <row r="80" spans="1:7" ht="45" customHeight="1" x14ac:dyDescent="0.2">
      <c r="A80" s="264" t="s">
        <v>8</v>
      </c>
      <c r="B80" s="518" t="s">
        <v>9</v>
      </c>
      <c r="C80" s="309" t="s">
        <v>10</v>
      </c>
      <c r="D80" s="311"/>
      <c r="E80" s="312" t="s">
        <v>12</v>
      </c>
      <c r="F80" s="285"/>
      <c r="G80" s="286"/>
    </row>
    <row r="81" spans="1:6" ht="15" customHeight="1" x14ac:dyDescent="0.2">
      <c r="A81" s="473" t="s">
        <v>125</v>
      </c>
      <c r="B81" s="443" t="s">
        <v>126</v>
      </c>
      <c r="C81" s="383">
        <f>+[9]BS17!D49</f>
        <v>0</v>
      </c>
      <c r="D81" s="290"/>
      <c r="E81" s="313">
        <f>+SUM([9]BS17A!V673+[9]BS17A!V719)</f>
        <v>0</v>
      </c>
      <c r="F81" s="262"/>
    </row>
    <row r="82" spans="1:6" ht="15" customHeight="1" x14ac:dyDescent="0.2">
      <c r="A82" s="457">
        <v>2001</v>
      </c>
      <c r="B82" s="430" t="s">
        <v>127</v>
      </c>
      <c r="C82" s="380">
        <f>+[9]BS17!E130</f>
        <v>1324</v>
      </c>
      <c r="D82" s="293"/>
      <c r="E82" s="314">
        <f>+[9]BS17A!V1574</f>
        <v>11222060</v>
      </c>
      <c r="F82" s="262"/>
    </row>
    <row r="83" spans="1:6" ht="15" customHeight="1" x14ac:dyDescent="0.2">
      <c r="A83" s="467" t="s">
        <v>128</v>
      </c>
      <c r="B83" s="450" t="s">
        <v>129</v>
      </c>
      <c r="C83" s="410">
        <f>+[9]BS17A!D1849</f>
        <v>20</v>
      </c>
      <c r="D83" s="295"/>
      <c r="E83" s="315">
        <f>+[9]BS17A!V1849</f>
        <v>1319140</v>
      </c>
      <c r="F83" s="262"/>
    </row>
    <row r="84" spans="1:6" ht="17.25" customHeight="1" x14ac:dyDescent="0.2">
      <c r="A84" s="437"/>
      <c r="B84" s="522" t="s">
        <v>130</v>
      </c>
      <c r="C84" s="316">
        <f>+SUM(C81:C83)</f>
        <v>1344</v>
      </c>
      <c r="D84" s="288"/>
      <c r="E84" s="317">
        <f>SUM(E81:E83)</f>
        <v>12541200</v>
      </c>
      <c r="F84" s="262"/>
    </row>
    <row r="85" spans="1:6" ht="12.75" x14ac:dyDescent="0.2">
      <c r="A85" s="262"/>
      <c r="B85" s="262"/>
      <c r="C85" s="262"/>
      <c r="D85" s="262"/>
      <c r="E85" s="262"/>
      <c r="F85" s="262"/>
    </row>
    <row r="86" spans="1:6" ht="12.75" x14ac:dyDescent="0.2">
      <c r="A86" s="262"/>
      <c r="B86" s="262"/>
      <c r="C86" s="262"/>
      <c r="D86" s="262"/>
      <c r="E86" s="262"/>
      <c r="F86" s="259"/>
    </row>
    <row r="87" spans="1:6" ht="12.75" x14ac:dyDescent="0.15">
      <c r="A87" s="597" t="s">
        <v>131</v>
      </c>
      <c r="B87" s="598"/>
      <c r="C87" s="598"/>
      <c r="D87" s="598"/>
      <c r="E87" s="598"/>
      <c r="F87" s="599"/>
    </row>
    <row r="88" spans="1:6" ht="33.75" customHeight="1" x14ac:dyDescent="0.15">
      <c r="A88" s="611" t="s">
        <v>8</v>
      </c>
      <c r="B88" s="611" t="s">
        <v>9</v>
      </c>
      <c r="C88" s="586" t="s">
        <v>10</v>
      </c>
      <c r="D88" s="587"/>
      <c r="E88" s="587"/>
      <c r="F88" s="588"/>
    </row>
    <row r="89" spans="1:6" ht="45" customHeight="1" x14ac:dyDescent="0.15">
      <c r="A89" s="612"/>
      <c r="B89" s="612"/>
      <c r="C89" s="518" t="s">
        <v>132</v>
      </c>
      <c r="D89" s="394" t="s">
        <v>133</v>
      </c>
      <c r="E89" s="310" t="s">
        <v>134</v>
      </c>
      <c r="F89" s="519" t="s">
        <v>12</v>
      </c>
    </row>
    <row r="90" spans="1:6" ht="15" customHeight="1" x14ac:dyDescent="0.2">
      <c r="A90" s="434" t="s">
        <v>135</v>
      </c>
      <c r="B90" s="429" t="s">
        <v>136</v>
      </c>
      <c r="C90" s="420">
        <f>+[9]BS17!F68</f>
        <v>1</v>
      </c>
      <c r="D90" s="318">
        <f>+[9]BS17!G68</f>
        <v>0</v>
      </c>
      <c r="E90" s="319">
        <f>+[9]BS17!H68</f>
        <v>0</v>
      </c>
      <c r="F90" s="320">
        <f>[9]BS17A!V811</f>
        <v>149420</v>
      </c>
    </row>
    <row r="91" spans="1:6" ht="15" customHeight="1" x14ac:dyDescent="0.2">
      <c r="A91" s="435" t="s">
        <v>137</v>
      </c>
      <c r="B91" s="430" t="s">
        <v>138</v>
      </c>
      <c r="C91" s="421">
        <f>+[9]BS17!F69</f>
        <v>172</v>
      </c>
      <c r="D91" s="321">
        <f>+[9]BS17!G69</f>
        <v>0</v>
      </c>
      <c r="E91" s="322">
        <f>+[9]BS17!H69</f>
        <v>0</v>
      </c>
      <c r="F91" s="323">
        <f>[9]BS17A!V882</f>
        <v>50589220</v>
      </c>
    </row>
    <row r="92" spans="1:6" ht="15" customHeight="1" x14ac:dyDescent="0.2">
      <c r="A92" s="435" t="s">
        <v>139</v>
      </c>
      <c r="B92" s="430" t="s">
        <v>140</v>
      </c>
      <c r="C92" s="421">
        <f>+[9]BS17!F70</f>
        <v>25</v>
      </c>
      <c r="D92" s="321">
        <f>+[9]BS17!G70</f>
        <v>4</v>
      </c>
      <c r="E92" s="322">
        <f>+[9]BS17!H70</f>
        <v>0</v>
      </c>
      <c r="F92" s="323">
        <f>[9]BS17A!V961</f>
        <v>2740550</v>
      </c>
    </row>
    <row r="93" spans="1:6" ht="15" customHeight="1" x14ac:dyDescent="0.2">
      <c r="A93" s="435" t="s">
        <v>141</v>
      </c>
      <c r="B93" s="430" t="s">
        <v>142</v>
      </c>
      <c r="C93" s="421">
        <f>+[9]BS17!F71</f>
        <v>5</v>
      </c>
      <c r="D93" s="321">
        <f>+[9]BS17!G71</f>
        <v>1</v>
      </c>
      <c r="E93" s="322">
        <f>+[9]BS17!H71</f>
        <v>0</v>
      </c>
      <c r="F93" s="323">
        <f>[9]BS17A!V1037</f>
        <v>665515</v>
      </c>
    </row>
    <row r="94" spans="1:6" ht="15" customHeight="1" x14ac:dyDescent="0.2">
      <c r="A94" s="435" t="s">
        <v>143</v>
      </c>
      <c r="B94" s="430" t="s">
        <v>144</v>
      </c>
      <c r="C94" s="421">
        <f>+[9]BS17!F72</f>
        <v>62</v>
      </c>
      <c r="D94" s="321">
        <f>+[9]BS17!G72</f>
        <v>1</v>
      </c>
      <c r="E94" s="322">
        <f>+[9]BS17!H72</f>
        <v>0</v>
      </c>
      <c r="F94" s="323">
        <f>[9]BS17A!V1098</f>
        <v>3695170</v>
      </c>
    </row>
    <row r="95" spans="1:6" ht="15" customHeight="1" x14ac:dyDescent="0.2">
      <c r="A95" s="435" t="s">
        <v>145</v>
      </c>
      <c r="B95" s="430" t="s">
        <v>146</v>
      </c>
      <c r="C95" s="421">
        <f>+[9]BS17!F73</f>
        <v>100</v>
      </c>
      <c r="D95" s="321">
        <f>+[9]BS17!G73</f>
        <v>1</v>
      </c>
      <c r="E95" s="322">
        <f>+[9]BS17!H73</f>
        <v>0</v>
      </c>
      <c r="F95" s="323">
        <f>[9]BS17A!V1166</f>
        <v>2300280</v>
      </c>
    </row>
    <row r="96" spans="1:6" ht="15" customHeight="1" x14ac:dyDescent="0.2">
      <c r="A96" s="435" t="s">
        <v>147</v>
      </c>
      <c r="B96" s="430" t="s">
        <v>148</v>
      </c>
      <c r="C96" s="421">
        <f>+[9]BS17!F74</f>
        <v>8</v>
      </c>
      <c r="D96" s="321">
        <f>+[9]BS17!G74</f>
        <v>2</v>
      </c>
      <c r="E96" s="322">
        <f>+[9]BS17!H74</f>
        <v>0</v>
      </c>
      <c r="F96" s="323">
        <f>[9]BS17A!V1221</f>
        <v>1274300</v>
      </c>
    </row>
    <row r="97" spans="1:6" ht="15" customHeight="1" x14ac:dyDescent="0.2">
      <c r="A97" s="435" t="s">
        <v>149</v>
      </c>
      <c r="B97" s="430" t="s">
        <v>150</v>
      </c>
      <c r="C97" s="421">
        <f>+[9]BS17!F75</f>
        <v>4</v>
      </c>
      <c r="D97" s="321">
        <f>+[9]BS17!G75</f>
        <v>0</v>
      </c>
      <c r="E97" s="322">
        <f>+[9]BS17!H75</f>
        <v>0</v>
      </c>
      <c r="F97" s="323">
        <f>[9]BS17A!V1287</f>
        <v>210440</v>
      </c>
    </row>
    <row r="98" spans="1:6" ht="15" customHeight="1" x14ac:dyDescent="0.2">
      <c r="A98" s="435" t="s">
        <v>151</v>
      </c>
      <c r="B98" s="430" t="s">
        <v>152</v>
      </c>
      <c r="C98" s="421">
        <f>+[9]BS17!F76</f>
        <v>126</v>
      </c>
      <c r="D98" s="321">
        <f>+[9]BS17!G76</f>
        <v>16</v>
      </c>
      <c r="E98" s="322">
        <f>+[9]BS17!H76</f>
        <v>0</v>
      </c>
      <c r="F98" s="323">
        <f>[9]BS17A!V1357</f>
        <v>32501830</v>
      </c>
    </row>
    <row r="99" spans="1:6" ht="15" customHeight="1" x14ac:dyDescent="0.2">
      <c r="A99" s="435" t="s">
        <v>153</v>
      </c>
      <c r="B99" s="430" t="s">
        <v>154</v>
      </c>
      <c r="C99" s="421">
        <f>+[9]BS17!F77</f>
        <v>6</v>
      </c>
      <c r="D99" s="321">
        <f>+[9]BS17!G77</f>
        <v>0</v>
      </c>
      <c r="E99" s="322">
        <f>+[9]BS17!H77</f>
        <v>0</v>
      </c>
      <c r="F99" s="323">
        <f>[9]BS17A!V1441</f>
        <v>560090</v>
      </c>
    </row>
    <row r="100" spans="1:6" ht="15" customHeight="1" x14ac:dyDescent="0.2">
      <c r="A100" s="435" t="s">
        <v>155</v>
      </c>
      <c r="B100" s="430" t="s">
        <v>156</v>
      </c>
      <c r="C100" s="421">
        <f>+[9]BS17!F78</f>
        <v>30</v>
      </c>
      <c r="D100" s="321">
        <f>+[9]BS17!G78</f>
        <v>0</v>
      </c>
      <c r="E100" s="322">
        <f>+[9]BS17!H78</f>
        <v>0</v>
      </c>
      <c r="F100" s="323">
        <f>[9]BS17A!V1489</f>
        <v>5304880</v>
      </c>
    </row>
    <row r="101" spans="1:6" ht="15" customHeight="1" x14ac:dyDescent="0.2">
      <c r="A101" s="435" t="s">
        <v>157</v>
      </c>
      <c r="B101" s="430" t="s">
        <v>158</v>
      </c>
      <c r="C101" s="421">
        <f>+[9]BS17!F79</f>
        <v>7</v>
      </c>
      <c r="D101" s="321">
        <f>+[9]BS17!G79</f>
        <v>1</v>
      </c>
      <c r="E101" s="322">
        <f>+[9]BS17!H79</f>
        <v>0</v>
      </c>
      <c r="F101" s="323">
        <f>[9]BS17A!V1592</f>
        <v>1858905</v>
      </c>
    </row>
    <row r="102" spans="1:6" ht="15" customHeight="1" x14ac:dyDescent="0.2">
      <c r="A102" s="467" t="s">
        <v>159</v>
      </c>
      <c r="B102" s="450" t="s">
        <v>160</v>
      </c>
      <c r="C102" s="422">
        <f>+[9]BS17!F80</f>
        <v>46</v>
      </c>
      <c r="D102" s="324">
        <f>+[9]BS17!G80</f>
        <v>9</v>
      </c>
      <c r="E102" s="325">
        <f>+[9]BS17!H80</f>
        <v>0</v>
      </c>
      <c r="F102" s="326">
        <f>[9]BS17A!V1597</f>
        <v>8276250</v>
      </c>
    </row>
    <row r="103" spans="1:6" ht="15" customHeight="1" x14ac:dyDescent="0.2">
      <c r="A103" s="434" t="s">
        <v>161</v>
      </c>
      <c r="B103" s="429" t="s">
        <v>162</v>
      </c>
      <c r="C103" s="420">
        <f>+[9]BS17!F81</f>
        <v>57</v>
      </c>
      <c r="D103" s="318">
        <f>+[9]BS17!G81</f>
        <v>0</v>
      </c>
      <c r="E103" s="319">
        <f>+[9]BS17!H81</f>
        <v>0</v>
      </c>
      <c r="F103" s="320">
        <f>+[9]BS17A!V1631</f>
        <v>6850500</v>
      </c>
    </row>
    <row r="104" spans="1:6" ht="15" customHeight="1" x14ac:dyDescent="0.2">
      <c r="A104" s="435"/>
      <c r="B104" s="430" t="s">
        <v>163</v>
      </c>
      <c r="C104" s="421">
        <f>+[9]BS17A!D1635</f>
        <v>0</v>
      </c>
      <c r="D104" s="321">
        <f>+[9]BS17A!F1635</f>
        <v>0</v>
      </c>
      <c r="E104" s="322">
        <f>+[9]BS17A!G1635</f>
        <v>0</v>
      </c>
      <c r="F104" s="323">
        <f>+[9]BS17A!V1635</f>
        <v>0</v>
      </c>
    </row>
    <row r="105" spans="1:6" ht="15" customHeight="1" x14ac:dyDescent="0.2">
      <c r="A105" s="435"/>
      <c r="B105" s="430" t="s">
        <v>164</v>
      </c>
      <c r="C105" s="421">
        <f>+[9]BS17A!D1634</f>
        <v>41</v>
      </c>
      <c r="D105" s="321">
        <f>+[9]BS17A!F1634</f>
        <v>0</v>
      </c>
      <c r="E105" s="322">
        <f>+[9]BS17A!G1634</f>
        <v>0</v>
      </c>
      <c r="F105" s="323">
        <f>+[9]BS17A!V1634</f>
        <v>5286950</v>
      </c>
    </row>
    <row r="106" spans="1:6" ht="15" customHeight="1" x14ac:dyDescent="0.2">
      <c r="A106" s="436"/>
      <c r="B106" s="444" t="s">
        <v>165</v>
      </c>
      <c r="C106" s="423">
        <f>+[9]BS17A!D1632+[9]BS17A!D1633</f>
        <v>16</v>
      </c>
      <c r="D106" s="328">
        <f>+[9]BS17A!F1632+[9]BS17A!F1633</f>
        <v>0</v>
      </c>
      <c r="E106" s="329">
        <f>+[9]BS17A!G1632+[9]BS17A!G1633</f>
        <v>0</v>
      </c>
      <c r="F106" s="330">
        <f>+[9]BS17A!V1632+[9]BS17A!V1633</f>
        <v>1563550</v>
      </c>
    </row>
    <row r="107" spans="1:6" ht="15" customHeight="1" x14ac:dyDescent="0.2">
      <c r="A107" s="472" t="s">
        <v>166</v>
      </c>
      <c r="B107" s="471" t="s">
        <v>167</v>
      </c>
      <c r="C107" s="424">
        <f>+[9]BS17!F82</f>
        <v>46</v>
      </c>
      <c r="D107" s="331">
        <f>+[9]BS17!G82</f>
        <v>2</v>
      </c>
      <c r="E107" s="332">
        <f>+[9]BS17!H82</f>
        <v>0</v>
      </c>
      <c r="F107" s="333">
        <f>+[9]BS17A!V1639</f>
        <v>9353570</v>
      </c>
    </row>
    <row r="108" spans="1:6" ht="15" customHeight="1" x14ac:dyDescent="0.2">
      <c r="A108" s="468">
        <v>2106</v>
      </c>
      <c r="B108" s="444" t="s">
        <v>168</v>
      </c>
      <c r="C108" s="423">
        <f>[9]BS17A!D1845</f>
        <v>6</v>
      </c>
      <c r="D108" s="328">
        <f>[9]BS17A!F1845</f>
        <v>0</v>
      </c>
      <c r="E108" s="329">
        <f>[9]BS17A!G1845</f>
        <v>0</v>
      </c>
      <c r="F108" s="330">
        <f>+[9]BS17A!V1845</f>
        <v>431080</v>
      </c>
    </row>
    <row r="109" spans="1:6" ht="15" customHeight="1" x14ac:dyDescent="0.2">
      <c r="A109" s="442"/>
      <c r="B109" s="441" t="s">
        <v>169</v>
      </c>
      <c r="C109" s="425">
        <f>SUM(C90:C108)-C103</f>
        <v>701</v>
      </c>
      <c r="D109" s="335">
        <f>SUM(D90:D108)-D103</f>
        <v>37</v>
      </c>
      <c r="E109" s="336">
        <f>+SUM(E90:E103)+E107+E108</f>
        <v>0</v>
      </c>
      <c r="F109" s="337">
        <f>+SUM(F90:F103)+F107+F108</f>
        <v>126762000</v>
      </c>
    </row>
    <row r="110" spans="1:6" ht="12.75" x14ac:dyDescent="0.2">
      <c r="A110" s="262"/>
      <c r="B110" s="262"/>
      <c r="C110" s="262"/>
      <c r="D110" s="262"/>
      <c r="E110" s="262"/>
      <c r="F110" s="259"/>
    </row>
    <row r="111" spans="1:6" ht="12.75" x14ac:dyDescent="0.2">
      <c r="A111" s="262"/>
      <c r="B111" s="262"/>
      <c r="C111" s="262"/>
      <c r="D111" s="262"/>
      <c r="E111" s="262"/>
      <c r="F111" s="259"/>
    </row>
    <row r="112" spans="1:6" ht="12.75" x14ac:dyDescent="0.2">
      <c r="A112" s="583" t="s">
        <v>170</v>
      </c>
      <c r="B112" s="584"/>
      <c r="C112" s="584"/>
      <c r="D112" s="584"/>
      <c r="E112" s="585"/>
      <c r="F112" s="259"/>
    </row>
    <row r="113" spans="1:6" ht="49.5" customHeight="1" x14ac:dyDescent="0.2">
      <c r="A113" s="264" t="s">
        <v>8</v>
      </c>
      <c r="B113" s="264" t="s">
        <v>9</v>
      </c>
      <c r="C113" s="517" t="s">
        <v>10</v>
      </c>
      <c r="D113" s="310" t="s">
        <v>11</v>
      </c>
      <c r="E113" s="519" t="s">
        <v>12</v>
      </c>
      <c r="F113" s="259"/>
    </row>
    <row r="114" spans="1:6" ht="15" customHeight="1" x14ac:dyDescent="0.2">
      <c r="A114" s="434" t="s">
        <v>171</v>
      </c>
      <c r="B114" s="429" t="s">
        <v>172</v>
      </c>
      <c r="C114" s="383">
        <f>+[9]BS17A!D1636</f>
        <v>74</v>
      </c>
      <c r="D114" s="338">
        <f>+[9]BS17A!U1636</f>
        <v>128940</v>
      </c>
      <c r="E114" s="339">
        <f>+[9]BS17A!V1636</f>
        <v>9541560</v>
      </c>
      <c r="F114" s="262"/>
    </row>
    <row r="115" spans="1:6" ht="15" customHeight="1" x14ac:dyDescent="0.2">
      <c r="A115" s="436" t="s">
        <v>173</v>
      </c>
      <c r="B115" s="465" t="s">
        <v>174</v>
      </c>
      <c r="C115" s="410">
        <f>+[9]BS17A!D1637</f>
        <v>1</v>
      </c>
      <c r="D115" s="340">
        <f>+[9]BS17A!U1637</f>
        <v>135670</v>
      </c>
      <c r="E115" s="315">
        <f>+[9]BS17A!V1637</f>
        <v>135670</v>
      </c>
      <c r="F115" s="262"/>
    </row>
    <row r="116" spans="1:6" ht="15" customHeight="1" x14ac:dyDescent="0.2">
      <c r="A116" s="316"/>
      <c r="B116" s="393" t="s">
        <v>175</v>
      </c>
      <c r="C116" s="316">
        <f>SUM(C114:C115)</f>
        <v>75</v>
      </c>
      <c r="D116" s="288"/>
      <c r="E116" s="317">
        <f>SUM(E114:E115)</f>
        <v>9677230</v>
      </c>
      <c r="F116" s="262"/>
    </row>
    <row r="117" spans="1:6" ht="12.75" x14ac:dyDescent="0.2">
      <c r="A117" s="262"/>
      <c r="B117" s="262"/>
      <c r="C117" s="262"/>
      <c r="D117" s="262"/>
      <c r="E117" s="262"/>
      <c r="F117" s="262"/>
    </row>
    <row r="118" spans="1:6" ht="12.75" x14ac:dyDescent="0.2">
      <c r="A118" s="262"/>
      <c r="B118" s="262"/>
      <c r="C118" s="262"/>
      <c r="D118" s="262"/>
      <c r="E118" s="262"/>
      <c r="F118" s="259"/>
    </row>
    <row r="119" spans="1:6" ht="12.75" x14ac:dyDescent="0.2">
      <c r="A119" s="608" t="s">
        <v>176</v>
      </c>
      <c r="B119" s="608"/>
      <c r="C119" s="608"/>
      <c r="D119" s="262"/>
      <c r="E119" s="262"/>
      <c r="F119" s="259"/>
    </row>
    <row r="120" spans="1:6" ht="38.25" customHeight="1" x14ac:dyDescent="0.2">
      <c r="A120" s="264" t="s">
        <v>8</v>
      </c>
      <c r="B120" s="264" t="s">
        <v>10</v>
      </c>
      <c r="C120" s="264" t="s">
        <v>12</v>
      </c>
      <c r="D120" s="262"/>
      <c r="E120" s="262"/>
      <c r="F120" s="262"/>
    </row>
    <row r="121" spans="1:6" ht="15" customHeight="1" x14ac:dyDescent="0.2">
      <c r="A121" s="341" t="s">
        <v>177</v>
      </c>
      <c r="B121" s="342" t="s">
        <v>178</v>
      </c>
      <c r="C121" s="343">
        <f>+[9]BS17A!V1871+[9]BS17A!V1889+[9]BS17A!V1914</f>
        <v>14219400</v>
      </c>
      <c r="D121" s="262"/>
      <c r="E121" s="262"/>
      <c r="F121" s="262"/>
    </row>
    <row r="122" spans="1:6" ht="12.75" x14ac:dyDescent="0.2">
      <c r="A122" s="262"/>
      <c r="B122" s="262"/>
      <c r="C122" s="262"/>
      <c r="D122" s="262"/>
      <c r="E122" s="259"/>
      <c r="F122" s="262"/>
    </row>
    <row r="123" spans="1:6" ht="12.75" x14ac:dyDescent="0.2">
      <c r="A123" s="262"/>
      <c r="B123" s="262"/>
      <c r="C123" s="262"/>
      <c r="D123" s="262"/>
      <c r="E123" s="259"/>
      <c r="F123" s="262"/>
    </row>
    <row r="124" spans="1:6" ht="12.75" x14ac:dyDescent="0.2">
      <c r="A124" s="583" t="s">
        <v>179</v>
      </c>
      <c r="B124" s="584"/>
      <c r="C124" s="584"/>
      <c r="D124" s="584"/>
      <c r="E124" s="585"/>
      <c r="F124" s="259"/>
    </row>
    <row r="125" spans="1:6" ht="45.75" customHeight="1" x14ac:dyDescent="0.2">
      <c r="A125" s="264" t="s">
        <v>8</v>
      </c>
      <c r="B125" s="264" t="s">
        <v>9</v>
      </c>
      <c r="C125" s="517" t="s">
        <v>10</v>
      </c>
      <c r="D125" s="310" t="s">
        <v>11</v>
      </c>
      <c r="E125" s="519" t="s">
        <v>12</v>
      </c>
      <c r="F125" s="259"/>
    </row>
    <row r="126" spans="1:6" ht="15" customHeight="1" x14ac:dyDescent="0.2">
      <c r="A126" s="434" t="s">
        <v>180</v>
      </c>
      <c r="B126" s="451" t="s">
        <v>181</v>
      </c>
      <c r="C126" s="383">
        <f>+[9]BS17A!$D59</f>
        <v>5312</v>
      </c>
      <c r="D126" s="275">
        <f>+[9]BS17A!$U59</f>
        <v>33020</v>
      </c>
      <c r="E126" s="344">
        <f>+[9]BS17A!$V59</f>
        <v>175402240</v>
      </c>
      <c r="F126" s="262"/>
    </row>
    <row r="127" spans="1:6" ht="15" customHeight="1" x14ac:dyDescent="0.2">
      <c r="A127" s="435" t="s">
        <v>182</v>
      </c>
      <c r="B127" s="431" t="s">
        <v>183</v>
      </c>
      <c r="C127" s="380">
        <f>+[9]BS17A!$D60</f>
        <v>0</v>
      </c>
      <c r="D127" s="270">
        <f>+[9]BS17A!$U60</f>
        <v>30400</v>
      </c>
      <c r="E127" s="345">
        <f>+[9]BS17A!$V60</f>
        <v>0</v>
      </c>
      <c r="F127" s="262"/>
    </row>
    <row r="128" spans="1:6" ht="15" customHeight="1" x14ac:dyDescent="0.2">
      <c r="A128" s="435" t="s">
        <v>184</v>
      </c>
      <c r="B128" s="431" t="s">
        <v>185</v>
      </c>
      <c r="C128" s="380">
        <f>+[9]BS17A!$D61</f>
        <v>0</v>
      </c>
      <c r="D128" s="270">
        <f>+[9]BS17A!$U61</f>
        <v>25340</v>
      </c>
      <c r="E128" s="345">
        <f>+[9]BS17A!$V61</f>
        <v>0</v>
      </c>
      <c r="F128" s="262"/>
    </row>
    <row r="129" spans="1:6" ht="15" customHeight="1" x14ac:dyDescent="0.2">
      <c r="A129" s="435" t="s">
        <v>186</v>
      </c>
      <c r="B129" s="431" t="s">
        <v>187</v>
      </c>
      <c r="C129" s="380">
        <f>SUM([9]BS17A!D62:D64)</f>
        <v>249</v>
      </c>
      <c r="D129" s="270">
        <f>+[9]BS17A!$U62</f>
        <v>137290</v>
      </c>
      <c r="E129" s="345">
        <f>SUM([9]BS17A!V62:V64)</f>
        <v>34185210</v>
      </c>
      <c r="F129" s="262"/>
    </row>
    <row r="130" spans="1:6" ht="15" customHeight="1" x14ac:dyDescent="0.2">
      <c r="A130" s="435" t="s">
        <v>188</v>
      </c>
      <c r="B130" s="431" t="s">
        <v>189</v>
      </c>
      <c r="C130" s="380">
        <f>SUM([9]BS17A!D65:D67)</f>
        <v>288</v>
      </c>
      <c r="D130" s="270">
        <f>+[9]BS17A!$U65</f>
        <v>66300</v>
      </c>
      <c r="E130" s="345">
        <f>SUM([9]BS17A!V65:V67)</f>
        <v>19094400</v>
      </c>
      <c r="F130" s="262"/>
    </row>
    <row r="131" spans="1:6" ht="15" customHeight="1" x14ac:dyDescent="0.2">
      <c r="A131" s="435" t="s">
        <v>190</v>
      </c>
      <c r="B131" s="431" t="s">
        <v>191</v>
      </c>
      <c r="C131" s="380">
        <f>+[9]BS17A!D68</f>
        <v>181</v>
      </c>
      <c r="D131" s="270">
        <f>+[9]BS17A!$U68</f>
        <v>59490</v>
      </c>
      <c r="E131" s="345">
        <f>+[9]BS17A!$V68</f>
        <v>10767690</v>
      </c>
      <c r="F131" s="262"/>
    </row>
    <row r="132" spans="1:6" ht="15" customHeight="1" x14ac:dyDescent="0.2">
      <c r="A132" s="435" t="s">
        <v>192</v>
      </c>
      <c r="B132" s="431" t="s">
        <v>193</v>
      </c>
      <c r="C132" s="380">
        <f>+[9]BS17A!$D69</f>
        <v>0</v>
      </c>
      <c r="D132" s="270">
        <f>+[9]BS17A!$U69</f>
        <v>16880</v>
      </c>
      <c r="E132" s="345">
        <f>+[9]BS17A!$V69</f>
        <v>0</v>
      </c>
      <c r="F132" s="262"/>
    </row>
    <row r="133" spans="1:6" ht="15" customHeight="1" x14ac:dyDescent="0.2">
      <c r="A133" s="435" t="s">
        <v>194</v>
      </c>
      <c r="B133" s="431" t="s">
        <v>195</v>
      </c>
      <c r="C133" s="380">
        <f>+[9]BS17A!$D70</f>
        <v>0</v>
      </c>
      <c r="D133" s="270">
        <f>+[9]BS17A!$U70</f>
        <v>26450</v>
      </c>
      <c r="E133" s="345">
        <f>+[9]BS17A!$V70</f>
        <v>0</v>
      </c>
      <c r="F133" s="262"/>
    </row>
    <row r="134" spans="1:6" ht="15" customHeight="1" x14ac:dyDescent="0.2">
      <c r="A134" s="435" t="s">
        <v>196</v>
      </c>
      <c r="B134" s="431" t="s">
        <v>197</v>
      </c>
      <c r="C134" s="380">
        <f>+[9]BS17A!$D73</f>
        <v>0</v>
      </c>
      <c r="D134" s="270">
        <f>+[9]BS17A!$U73</f>
        <v>26670</v>
      </c>
      <c r="E134" s="345">
        <f>+[9]BS17A!$V73</f>
        <v>0</v>
      </c>
      <c r="F134" s="262"/>
    </row>
    <row r="135" spans="1:6" ht="15" customHeight="1" x14ac:dyDescent="0.2">
      <c r="A135" s="435" t="s">
        <v>198</v>
      </c>
      <c r="B135" s="431" t="s">
        <v>199</v>
      </c>
      <c r="C135" s="380">
        <f>+[9]BS17A!$D71</f>
        <v>0</v>
      </c>
      <c r="D135" s="270">
        <f>+[9]BS17A!$U71</f>
        <v>27530</v>
      </c>
      <c r="E135" s="345">
        <f>+[9]BS17A!$V71</f>
        <v>0</v>
      </c>
      <c r="F135" s="262"/>
    </row>
    <row r="136" spans="1:6" ht="15" customHeight="1" x14ac:dyDescent="0.2">
      <c r="A136" s="435" t="s">
        <v>200</v>
      </c>
      <c r="B136" s="431" t="s">
        <v>201</v>
      </c>
      <c r="C136" s="380">
        <f>+[9]BS17A!$D76</f>
        <v>0</v>
      </c>
      <c r="D136" s="270">
        <f>+[9]BS17A!$U76</f>
        <v>33020</v>
      </c>
      <c r="E136" s="345">
        <f>+[9]BS17A!$V76</f>
        <v>0</v>
      </c>
      <c r="F136" s="262"/>
    </row>
    <row r="137" spans="1:6" ht="15" customHeight="1" x14ac:dyDescent="0.2">
      <c r="A137" s="435" t="s">
        <v>202</v>
      </c>
      <c r="B137" s="430" t="s">
        <v>203</v>
      </c>
      <c r="C137" s="380">
        <f>+[9]BS17A!$D79</f>
        <v>25</v>
      </c>
      <c r="D137" s="270">
        <f>+[9]BS17A!$U79</f>
        <v>6410</v>
      </c>
      <c r="E137" s="345">
        <f>+[9]BS17A!$V79</f>
        <v>160250</v>
      </c>
      <c r="F137" s="262"/>
    </row>
    <row r="138" spans="1:6" ht="15" customHeight="1" x14ac:dyDescent="0.2">
      <c r="A138" s="435" t="s">
        <v>204</v>
      </c>
      <c r="B138" s="430" t="s">
        <v>205</v>
      </c>
      <c r="C138" s="380">
        <f>+[9]BS17A!$D80</f>
        <v>0</v>
      </c>
      <c r="D138" s="270">
        <f>+[9]BS17A!$U80</f>
        <v>46280</v>
      </c>
      <c r="E138" s="345">
        <f>+[9]BS17A!$V80</f>
        <v>0</v>
      </c>
      <c r="F138" s="262"/>
    </row>
    <row r="139" spans="1:6" ht="15" customHeight="1" x14ac:dyDescent="0.2">
      <c r="A139" s="436"/>
      <c r="B139" s="469" t="s">
        <v>206</v>
      </c>
      <c r="C139" s="419">
        <f>SUM(C126:C138)</f>
        <v>6055</v>
      </c>
      <c r="D139" s="346"/>
      <c r="E139" s="347">
        <f>SUM(E126:E138)</f>
        <v>239609790</v>
      </c>
      <c r="F139" s="262"/>
    </row>
    <row r="140" spans="1:6" ht="15" customHeight="1" x14ac:dyDescent="0.2">
      <c r="A140" s="434"/>
      <c r="B140" s="470" t="s">
        <v>207</v>
      </c>
      <c r="C140" s="383"/>
      <c r="D140" s="275"/>
      <c r="E140" s="344"/>
      <c r="F140" s="262"/>
    </row>
    <row r="141" spans="1:6" ht="15" customHeight="1" x14ac:dyDescent="0.2">
      <c r="A141" s="435" t="s">
        <v>208</v>
      </c>
      <c r="B141" s="431" t="s">
        <v>209</v>
      </c>
      <c r="C141" s="380">
        <f>+[9]BS17A!$D72</f>
        <v>0</v>
      </c>
      <c r="D141" s="270">
        <f>+[9]BS17A!$U72</f>
        <v>11100</v>
      </c>
      <c r="E141" s="345">
        <f>+[9]BS17A!$V72</f>
        <v>0</v>
      </c>
      <c r="F141" s="262"/>
    </row>
    <row r="142" spans="1:6" ht="15" customHeight="1" x14ac:dyDescent="0.2">
      <c r="A142" s="435" t="s">
        <v>210</v>
      </c>
      <c r="B142" s="431" t="s">
        <v>211</v>
      </c>
      <c r="C142" s="380">
        <f>+[9]BS17A!$D74</f>
        <v>0</v>
      </c>
      <c r="D142" s="270">
        <f>+[9]BS17A!$U74</f>
        <v>11100</v>
      </c>
      <c r="E142" s="345">
        <f>+[9]BS17A!$V74</f>
        <v>0</v>
      </c>
      <c r="F142" s="262"/>
    </row>
    <row r="143" spans="1:6" ht="15" customHeight="1" x14ac:dyDescent="0.2">
      <c r="A143" s="435" t="s">
        <v>212</v>
      </c>
      <c r="B143" s="431" t="s">
        <v>213</v>
      </c>
      <c r="C143" s="380">
        <f>+[9]BS17A!$D75</f>
        <v>0</v>
      </c>
      <c r="D143" s="270">
        <f>+[9]BS17A!$U75</f>
        <v>4890</v>
      </c>
      <c r="E143" s="345">
        <f>+[9]BS17A!$V75</f>
        <v>0</v>
      </c>
      <c r="F143" s="262"/>
    </row>
    <row r="144" spans="1:6" ht="15" customHeight="1" x14ac:dyDescent="0.2">
      <c r="A144" s="435" t="s">
        <v>214</v>
      </c>
      <c r="B144" s="431" t="s">
        <v>215</v>
      </c>
      <c r="C144" s="380">
        <f>+[9]BS17A!$D77</f>
        <v>0</v>
      </c>
      <c r="D144" s="270">
        <f>+[9]BS17A!$U77</f>
        <v>89270</v>
      </c>
      <c r="E144" s="345">
        <f>+[9]BS17A!$V77</f>
        <v>0</v>
      </c>
      <c r="F144" s="262"/>
    </row>
    <row r="145" spans="1:6" ht="15" customHeight="1" x14ac:dyDescent="0.2">
      <c r="A145" s="435" t="s">
        <v>216</v>
      </c>
      <c r="B145" s="431" t="s">
        <v>217</v>
      </c>
      <c r="C145" s="380">
        <f>+[9]BS17A!$D78</f>
        <v>0</v>
      </c>
      <c r="D145" s="270">
        <f>+[9]BS17A!$U78</f>
        <v>10540</v>
      </c>
      <c r="E145" s="345">
        <f>+[9]BS17A!$V78</f>
        <v>0</v>
      </c>
      <c r="F145" s="262"/>
    </row>
    <row r="146" spans="1:6" ht="15" customHeight="1" x14ac:dyDescent="0.2">
      <c r="A146" s="435" t="s">
        <v>218</v>
      </c>
      <c r="B146" s="431" t="s">
        <v>219</v>
      </c>
      <c r="C146" s="380">
        <f>+[9]BS17A!$D81</f>
        <v>0</v>
      </c>
      <c r="D146" s="270">
        <f>+[9]BS17A!$U81</f>
        <v>8120</v>
      </c>
      <c r="E146" s="345">
        <f>+[9]BS17A!$V81</f>
        <v>0</v>
      </c>
      <c r="F146" s="262"/>
    </row>
    <row r="147" spans="1:6" ht="15" customHeight="1" x14ac:dyDescent="0.2">
      <c r="A147" s="436"/>
      <c r="B147" s="469" t="s">
        <v>220</v>
      </c>
      <c r="C147" s="419">
        <f>SUM(C141:C146)</f>
        <v>0</v>
      </c>
      <c r="D147" s="346"/>
      <c r="E147" s="347">
        <f>SUM(E141:E146)</f>
        <v>0</v>
      </c>
      <c r="F147" s="262"/>
    </row>
    <row r="148" spans="1:6" ht="15" customHeight="1" x14ac:dyDescent="0.2">
      <c r="A148" s="442"/>
      <c r="B148" s="441" t="s">
        <v>221</v>
      </c>
      <c r="C148" s="279">
        <f>+C139+C147</f>
        <v>6055</v>
      </c>
      <c r="D148" s="348"/>
      <c r="E148" s="349">
        <f>+E139+E147</f>
        <v>239609790</v>
      </c>
      <c r="F148" s="262"/>
    </row>
    <row r="149" spans="1:6" ht="12.75" x14ac:dyDescent="0.2">
      <c r="A149" s="262"/>
      <c r="B149" s="262"/>
      <c r="C149" s="262"/>
      <c r="D149" s="262"/>
      <c r="E149" s="262"/>
      <c r="F149" s="262"/>
    </row>
    <row r="150" spans="1:6" ht="12.75" x14ac:dyDescent="0.2">
      <c r="A150" s="262"/>
      <c r="B150" s="262"/>
      <c r="C150" s="262"/>
      <c r="D150" s="262"/>
      <c r="E150" s="262"/>
      <c r="F150" s="259"/>
    </row>
    <row r="151" spans="1:6" ht="12.75" x14ac:dyDescent="0.2">
      <c r="A151" s="597" t="s">
        <v>222</v>
      </c>
      <c r="B151" s="598"/>
      <c r="C151" s="598"/>
      <c r="D151" s="598"/>
      <c r="E151" s="599"/>
      <c r="F151" s="259"/>
    </row>
    <row r="152" spans="1:6" ht="47.25" customHeight="1" x14ac:dyDescent="0.2">
      <c r="A152" s="264" t="s">
        <v>8</v>
      </c>
      <c r="B152" s="264" t="s">
        <v>9</v>
      </c>
      <c r="C152" s="517" t="s">
        <v>10</v>
      </c>
      <c r="D152" s="310" t="s">
        <v>11</v>
      </c>
      <c r="E152" s="519" t="s">
        <v>12</v>
      </c>
      <c r="F152" s="262"/>
    </row>
    <row r="153" spans="1:6" ht="15" customHeight="1" x14ac:dyDescent="0.2">
      <c r="A153" s="434" t="s">
        <v>223</v>
      </c>
      <c r="B153" s="451" t="s">
        <v>224</v>
      </c>
      <c r="C153" s="383">
        <f>+[9]BS17A!D43</f>
        <v>263</v>
      </c>
      <c r="D153" s="275">
        <f>[9]BS17A!U43</f>
        <v>760</v>
      </c>
      <c r="E153" s="344">
        <f>+[9]BS17A!V43</f>
        <v>199880</v>
      </c>
      <c r="F153" s="262"/>
    </row>
    <row r="154" spans="1:6" ht="15" customHeight="1" x14ac:dyDescent="0.2">
      <c r="A154" s="436" t="s">
        <v>225</v>
      </c>
      <c r="B154" s="432" t="s">
        <v>226</v>
      </c>
      <c r="C154" s="395">
        <f>+[9]BS17A!D44+[9]BS17A!D45</f>
        <v>0</v>
      </c>
      <c r="D154" s="277">
        <f>[9]BS17A!U44</f>
        <v>100</v>
      </c>
      <c r="E154" s="350">
        <f>+[9]BS17A!V44+[9]BS17A!V45</f>
        <v>0</v>
      </c>
      <c r="F154" s="262"/>
    </row>
    <row r="155" spans="1:6" ht="15" customHeight="1" x14ac:dyDescent="0.2">
      <c r="A155" s="442"/>
      <c r="B155" s="441" t="s">
        <v>227</v>
      </c>
      <c r="C155" s="279">
        <f>SUM(C153:C154)</f>
        <v>263</v>
      </c>
      <c r="D155" s="348"/>
      <c r="E155" s="349">
        <f>SUM(E153:E154)</f>
        <v>199880</v>
      </c>
      <c r="F155" s="262"/>
    </row>
    <row r="156" spans="1:6" ht="12.75" x14ac:dyDescent="0.2">
      <c r="A156" s="262"/>
      <c r="B156" s="262"/>
      <c r="C156" s="262"/>
      <c r="D156" s="262"/>
      <c r="E156" s="262"/>
      <c r="F156" s="262"/>
    </row>
    <row r="157" spans="1:6" ht="12.75" x14ac:dyDescent="0.2">
      <c r="A157" s="262"/>
      <c r="B157" s="262"/>
      <c r="C157" s="262"/>
      <c r="D157" s="262"/>
      <c r="E157" s="262"/>
      <c r="F157" s="262"/>
    </row>
    <row r="158" spans="1:6" ht="18" customHeight="1" x14ac:dyDescent="0.2">
      <c r="A158" s="597" t="s">
        <v>228</v>
      </c>
      <c r="B158" s="598"/>
      <c r="C158" s="598"/>
      <c r="D158" s="598"/>
      <c r="E158" s="599"/>
      <c r="F158" s="259"/>
    </row>
    <row r="159" spans="1:6" ht="47.25" customHeight="1" x14ac:dyDescent="0.2">
      <c r="A159" s="264" t="s">
        <v>8</v>
      </c>
      <c r="B159" s="264" t="s">
        <v>9</v>
      </c>
      <c r="C159" s="517" t="s">
        <v>10</v>
      </c>
      <c r="D159" s="310" t="s">
        <v>11</v>
      </c>
      <c r="E159" s="519" t="s">
        <v>12</v>
      </c>
      <c r="F159" s="262"/>
    </row>
    <row r="160" spans="1:6" ht="15" customHeight="1" x14ac:dyDescent="0.2">
      <c r="A160" s="434" t="s">
        <v>229</v>
      </c>
      <c r="B160" s="429" t="s">
        <v>230</v>
      </c>
      <c r="C160" s="414">
        <f>+[9]BS17A!$D1481</f>
        <v>0</v>
      </c>
      <c r="D160" s="275">
        <f>+[9]BS17A!$U1481</f>
        <v>41580</v>
      </c>
      <c r="E160" s="344">
        <f>+[9]BS17A!$V1481</f>
        <v>0</v>
      </c>
      <c r="F160" s="262"/>
    </row>
    <row r="161" spans="1:6" ht="15" customHeight="1" x14ac:dyDescent="0.2">
      <c r="A161" s="435" t="s">
        <v>231</v>
      </c>
      <c r="B161" s="431" t="s">
        <v>232</v>
      </c>
      <c r="C161" s="418">
        <f>+[9]BS17A!$D1482</f>
        <v>0</v>
      </c>
      <c r="D161" s="270">
        <f>+[9]BS17A!$U1482</f>
        <v>26150</v>
      </c>
      <c r="E161" s="345">
        <f>+[9]BS17A!$V1482</f>
        <v>0</v>
      </c>
      <c r="F161" s="262"/>
    </row>
    <row r="162" spans="1:6" ht="15" customHeight="1" x14ac:dyDescent="0.2">
      <c r="A162" s="435" t="s">
        <v>233</v>
      </c>
      <c r="B162" s="430" t="s">
        <v>234</v>
      </c>
      <c r="C162" s="418">
        <f>+[9]BS17A!$D1483</f>
        <v>0</v>
      </c>
      <c r="D162" s="270">
        <f>+[9]BS17A!$U1483</f>
        <v>26930</v>
      </c>
      <c r="E162" s="345">
        <f>+[9]BS17A!$V1483</f>
        <v>0</v>
      </c>
      <c r="F162" s="262"/>
    </row>
    <row r="163" spans="1:6" ht="15" customHeight="1" x14ac:dyDescent="0.2">
      <c r="A163" s="435" t="s">
        <v>235</v>
      </c>
      <c r="B163" s="431" t="s">
        <v>236</v>
      </c>
      <c r="C163" s="418">
        <f>+[9]BS17A!$D1484</f>
        <v>0</v>
      </c>
      <c r="D163" s="270">
        <f>+[9]BS17A!$U1484</f>
        <v>808040</v>
      </c>
      <c r="E163" s="345">
        <f>+[9]BS17A!$V1484</f>
        <v>0</v>
      </c>
      <c r="F163" s="262"/>
    </row>
    <row r="164" spans="1:6" ht="15" customHeight="1" x14ac:dyDescent="0.2">
      <c r="A164" s="435" t="s">
        <v>237</v>
      </c>
      <c r="B164" s="431" t="s">
        <v>238</v>
      </c>
      <c r="C164" s="418">
        <f>+[9]BS17A!$D1485</f>
        <v>0</v>
      </c>
      <c r="D164" s="270">
        <f>+[9]BS17A!$U1485</f>
        <v>367020</v>
      </c>
      <c r="E164" s="345">
        <f>+[9]BS17A!$V1485</f>
        <v>0</v>
      </c>
      <c r="F164" s="262"/>
    </row>
    <row r="165" spans="1:6" ht="15" customHeight="1" x14ac:dyDescent="0.2">
      <c r="A165" s="435" t="s">
        <v>239</v>
      </c>
      <c r="B165" s="431" t="s">
        <v>240</v>
      </c>
      <c r="C165" s="418">
        <f>+[9]BS17A!$D1486</f>
        <v>0</v>
      </c>
      <c r="D165" s="270">
        <f>+[9]BS17A!$U1486</f>
        <v>561210</v>
      </c>
      <c r="E165" s="345">
        <f>+[9]BS17A!$V1486</f>
        <v>0</v>
      </c>
      <c r="F165" s="262"/>
    </row>
    <row r="166" spans="1:6" ht="15" customHeight="1" x14ac:dyDescent="0.2">
      <c r="A166" s="467" t="s">
        <v>241</v>
      </c>
      <c r="B166" s="465" t="s">
        <v>242</v>
      </c>
      <c r="C166" s="418">
        <f>+[9]BS17A!$D1487</f>
        <v>0</v>
      </c>
      <c r="D166" s="270">
        <f>+[9]BS17A!$U1487</f>
        <v>50600</v>
      </c>
      <c r="E166" s="345">
        <f>+[9]BS17A!$V1487</f>
        <v>0</v>
      </c>
      <c r="F166" s="262"/>
    </row>
    <row r="167" spans="1:6" ht="15" customHeight="1" x14ac:dyDescent="0.2">
      <c r="A167" s="468">
        <v>1901029</v>
      </c>
      <c r="B167" s="466" t="s">
        <v>243</v>
      </c>
      <c r="C167" s="415">
        <f>+[9]BS17A!$D1488</f>
        <v>0</v>
      </c>
      <c r="D167" s="277">
        <f>+[9]BS17A!$U1488</f>
        <v>657830</v>
      </c>
      <c r="E167" s="350">
        <f>+[9]BS17A!$V1488</f>
        <v>0</v>
      </c>
      <c r="F167" s="262"/>
    </row>
    <row r="168" spans="1:6" ht="15" customHeight="1" x14ac:dyDescent="0.2">
      <c r="A168" s="334"/>
      <c r="B168" s="351" t="s">
        <v>244</v>
      </c>
      <c r="C168" s="352">
        <f>SUM(C160:C167)</f>
        <v>0</v>
      </c>
      <c r="D168" s="353"/>
      <c r="E168" s="354">
        <f>SUM(E160:E167)</f>
        <v>0</v>
      </c>
      <c r="F168" s="262"/>
    </row>
    <row r="169" spans="1:6" ht="12.75" x14ac:dyDescent="0.2">
      <c r="A169" s="262"/>
      <c r="B169" s="262"/>
      <c r="C169" s="262"/>
      <c r="D169" s="262"/>
      <c r="E169" s="262"/>
      <c r="F169" s="262"/>
    </row>
    <row r="170" spans="1:6" ht="18" customHeight="1" x14ac:dyDescent="0.2">
      <c r="A170" s="262"/>
      <c r="B170" s="262"/>
      <c r="C170" s="262"/>
      <c r="D170" s="262"/>
      <c r="E170" s="262"/>
      <c r="F170" s="262"/>
    </row>
    <row r="171" spans="1:6" ht="18" customHeight="1" x14ac:dyDescent="0.2">
      <c r="A171" s="583" t="s">
        <v>245</v>
      </c>
      <c r="B171" s="584"/>
      <c r="C171" s="584"/>
      <c r="D171" s="584"/>
      <c r="E171" s="585"/>
      <c r="F171" s="259"/>
    </row>
    <row r="172" spans="1:6" ht="46.5" customHeight="1" x14ac:dyDescent="0.2">
      <c r="A172" s="264" t="s">
        <v>8</v>
      </c>
      <c r="B172" s="264" t="s">
        <v>9</v>
      </c>
      <c r="C172" s="517" t="s">
        <v>10</v>
      </c>
      <c r="D172" s="310" t="s">
        <v>11</v>
      </c>
      <c r="E172" s="519" t="s">
        <v>12</v>
      </c>
      <c r="F172" s="262"/>
    </row>
    <row r="173" spans="1:6" ht="12.75" customHeight="1" x14ac:dyDescent="0.2">
      <c r="A173" s="463">
        <v>1101004</v>
      </c>
      <c r="B173" s="458" t="s">
        <v>246</v>
      </c>
      <c r="C173" s="383">
        <f>+[9]BS17A!$D805</f>
        <v>12</v>
      </c>
      <c r="D173" s="275">
        <f>+[9]BS17A!$U805</f>
        <v>14260</v>
      </c>
      <c r="E173" s="344">
        <f>+[9]BS17A!$V805</f>
        <v>171120</v>
      </c>
      <c r="F173" s="262"/>
    </row>
    <row r="174" spans="1:6" ht="12.75" customHeight="1" x14ac:dyDescent="0.2">
      <c r="A174" s="457">
        <v>1101006</v>
      </c>
      <c r="B174" s="459" t="s">
        <v>247</v>
      </c>
      <c r="C174" s="380">
        <f>+[9]BS17A!$D806</f>
        <v>0</v>
      </c>
      <c r="D174" s="270">
        <f>+[9]BS17A!$U806</f>
        <v>11400</v>
      </c>
      <c r="E174" s="345">
        <f>+[9]BS17A!$V806</f>
        <v>0</v>
      </c>
      <c r="F174" s="262"/>
    </row>
    <row r="175" spans="1:6" ht="24.75" customHeight="1" x14ac:dyDescent="0.2">
      <c r="A175" s="457" t="s">
        <v>248</v>
      </c>
      <c r="B175" s="460" t="s">
        <v>249</v>
      </c>
      <c r="C175" s="380">
        <f>+[9]BS17A!$D1197</f>
        <v>783</v>
      </c>
      <c r="D175" s="270">
        <f>+[9]BS17A!$U1197</f>
        <v>4880</v>
      </c>
      <c r="E175" s="345">
        <f>+[9]BS17A!$V1197</f>
        <v>3821040</v>
      </c>
      <c r="F175" s="262"/>
    </row>
    <row r="176" spans="1:6" ht="24.75" customHeight="1" x14ac:dyDescent="0.2">
      <c r="A176" s="457" t="s">
        <v>250</v>
      </c>
      <c r="B176" s="460" t="s">
        <v>251</v>
      </c>
      <c r="C176" s="380">
        <f>+[9]BS17A!$D1198</f>
        <v>16</v>
      </c>
      <c r="D176" s="270">
        <f>+[9]BS17A!$U1198</f>
        <v>13770</v>
      </c>
      <c r="E176" s="345">
        <f>+[9]BS17A!$V1198</f>
        <v>220320</v>
      </c>
      <c r="F176" s="262"/>
    </row>
    <row r="177" spans="1:6" ht="24.75" customHeight="1" x14ac:dyDescent="0.2">
      <c r="A177" s="457" t="s">
        <v>252</v>
      </c>
      <c r="B177" s="460" t="s">
        <v>253</v>
      </c>
      <c r="C177" s="380">
        <f>+[9]BS17A!$D1199</f>
        <v>43</v>
      </c>
      <c r="D177" s="270">
        <f>+[9]BS17A!$U1199</f>
        <v>23350</v>
      </c>
      <c r="E177" s="345">
        <f>+[9]BS17A!$V1199</f>
        <v>1004050</v>
      </c>
      <c r="F177" s="262"/>
    </row>
    <row r="178" spans="1:6" ht="12.75" customHeight="1" x14ac:dyDescent="0.2">
      <c r="A178" s="457" t="s">
        <v>254</v>
      </c>
      <c r="B178" s="460" t="s">
        <v>255</v>
      </c>
      <c r="C178" s="380">
        <f>+[9]BS17A!$D1200</f>
        <v>0</v>
      </c>
      <c r="D178" s="270">
        <f>+[9]BS17A!$U1200</f>
        <v>44580</v>
      </c>
      <c r="E178" s="345">
        <f>+[9]BS17A!$V1200</f>
        <v>0</v>
      </c>
      <c r="F178" s="262"/>
    </row>
    <row r="179" spans="1:6" ht="12.75" customHeight="1" x14ac:dyDescent="0.2">
      <c r="A179" s="457" t="s">
        <v>256</v>
      </c>
      <c r="B179" s="460" t="s">
        <v>257</v>
      </c>
      <c r="C179" s="380">
        <f>+[9]BS17A!$D1201</f>
        <v>155</v>
      </c>
      <c r="D179" s="270">
        <f>+[9]BS17A!$U1201</f>
        <v>49690</v>
      </c>
      <c r="E179" s="345">
        <f>+[9]BS17A!$V1201</f>
        <v>7701950</v>
      </c>
      <c r="F179" s="262"/>
    </row>
    <row r="180" spans="1:6" ht="24.75" customHeight="1" x14ac:dyDescent="0.2">
      <c r="A180" s="457" t="s">
        <v>258</v>
      </c>
      <c r="B180" s="460" t="s">
        <v>259</v>
      </c>
      <c r="C180" s="380">
        <f>+[9]BS17A!$D1202</f>
        <v>0</v>
      </c>
      <c r="D180" s="270">
        <f>+[9]BS17A!$U1202</f>
        <v>27870</v>
      </c>
      <c r="E180" s="345">
        <f>+[9]BS17A!$V1202</f>
        <v>0</v>
      </c>
      <c r="F180" s="262"/>
    </row>
    <row r="181" spans="1:6" ht="12.75" customHeight="1" x14ac:dyDescent="0.2">
      <c r="A181" s="457" t="s">
        <v>260</v>
      </c>
      <c r="B181" s="461" t="s">
        <v>261</v>
      </c>
      <c r="C181" s="380">
        <f>+[9]BS17A!$D1203</f>
        <v>0</v>
      </c>
      <c r="D181" s="270">
        <f>+[9]BS17A!$U1203</f>
        <v>215630</v>
      </c>
      <c r="E181" s="345">
        <f>+[9]BS17A!$V1203</f>
        <v>0</v>
      </c>
      <c r="F181" s="262"/>
    </row>
    <row r="182" spans="1:6" ht="12.75" customHeight="1" x14ac:dyDescent="0.2">
      <c r="A182" s="457" t="s">
        <v>262</v>
      </c>
      <c r="B182" s="460" t="s">
        <v>263</v>
      </c>
      <c r="C182" s="380">
        <f>+[9]BS17A!$D1204</f>
        <v>0</v>
      </c>
      <c r="D182" s="270">
        <f>+[9]BS17A!$U1204</f>
        <v>245140</v>
      </c>
      <c r="E182" s="345">
        <f>+[9]BS17A!$V1204</f>
        <v>0</v>
      </c>
      <c r="F182" s="262"/>
    </row>
    <row r="183" spans="1:6" ht="12.75" customHeight="1" x14ac:dyDescent="0.2">
      <c r="A183" s="457" t="s">
        <v>264</v>
      </c>
      <c r="B183" s="460" t="s">
        <v>265</v>
      </c>
      <c r="C183" s="380">
        <f>+[9]BS17A!$D1205</f>
        <v>0</v>
      </c>
      <c r="D183" s="270">
        <f>+[9]BS17A!$U1205</f>
        <v>199900</v>
      </c>
      <c r="E183" s="345">
        <f>+[9]BS17A!$V1205</f>
        <v>0</v>
      </c>
      <c r="F183" s="262"/>
    </row>
    <row r="184" spans="1:6" ht="24.75" customHeight="1" x14ac:dyDescent="0.2">
      <c r="A184" s="457" t="s">
        <v>266</v>
      </c>
      <c r="B184" s="461" t="s">
        <v>267</v>
      </c>
      <c r="C184" s="380">
        <f>+[9]BS17A!$D1206</f>
        <v>0</v>
      </c>
      <c r="D184" s="270">
        <f>+[9]BS17A!$U1206</f>
        <v>256770</v>
      </c>
      <c r="E184" s="345">
        <f>+[9]BS17A!$V1206</f>
        <v>0</v>
      </c>
      <c r="F184" s="262"/>
    </row>
    <row r="185" spans="1:6" ht="24.75" customHeight="1" x14ac:dyDescent="0.2">
      <c r="A185" s="457" t="s">
        <v>268</v>
      </c>
      <c r="B185" s="461" t="s">
        <v>269</v>
      </c>
      <c r="C185" s="380">
        <f>+[9]BS17A!$D1207</f>
        <v>0</v>
      </c>
      <c r="D185" s="270">
        <f>+[9]BS17A!$U1207</f>
        <v>262730</v>
      </c>
      <c r="E185" s="345">
        <f>+[9]BS17A!$V1207</f>
        <v>0</v>
      </c>
      <c r="F185" s="262"/>
    </row>
    <row r="186" spans="1:6" ht="24.75" customHeight="1" x14ac:dyDescent="0.2">
      <c r="A186" s="457" t="s">
        <v>270</v>
      </c>
      <c r="B186" s="461" t="s">
        <v>271</v>
      </c>
      <c r="C186" s="380">
        <f>+[9]BS17A!$D1208</f>
        <v>0</v>
      </c>
      <c r="D186" s="270">
        <f>+[9]BS17A!$U1208</f>
        <v>222180</v>
      </c>
      <c r="E186" s="345">
        <f>+[9]BS17A!$V1208</f>
        <v>0</v>
      </c>
      <c r="F186" s="262"/>
    </row>
    <row r="187" spans="1:6" ht="12.75" customHeight="1" x14ac:dyDescent="0.2">
      <c r="A187" s="457" t="s">
        <v>272</v>
      </c>
      <c r="B187" s="461" t="s">
        <v>273</v>
      </c>
      <c r="C187" s="380">
        <f>+[9]BS17A!$D1209</f>
        <v>0</v>
      </c>
      <c r="D187" s="270">
        <f>+[9]BS17A!$U1209</f>
        <v>237160</v>
      </c>
      <c r="E187" s="345">
        <f>+[9]BS17A!$V1209</f>
        <v>0</v>
      </c>
      <c r="F187" s="262"/>
    </row>
    <row r="188" spans="1:6" ht="12.75" customHeight="1" x14ac:dyDescent="0.2">
      <c r="A188" s="457" t="s">
        <v>274</v>
      </c>
      <c r="B188" s="461" t="s">
        <v>275</v>
      </c>
      <c r="C188" s="380">
        <f>+[9]BS17A!$D1210</f>
        <v>0</v>
      </c>
      <c r="D188" s="270">
        <f>+[9]BS17A!$U1210</f>
        <v>283580</v>
      </c>
      <c r="E188" s="345">
        <f>+[9]BS17A!$V1210</f>
        <v>0</v>
      </c>
      <c r="F188" s="262"/>
    </row>
    <row r="189" spans="1:6" ht="24.75" customHeight="1" x14ac:dyDescent="0.2">
      <c r="A189" s="457" t="s">
        <v>276</v>
      </c>
      <c r="B189" s="460" t="s">
        <v>277</v>
      </c>
      <c r="C189" s="380">
        <f>+[9]BS17A!$D1211</f>
        <v>0</v>
      </c>
      <c r="D189" s="270">
        <f>+[9]BS17A!$U1211</f>
        <v>251470</v>
      </c>
      <c r="E189" s="345">
        <f>+[9]BS17A!$V1211</f>
        <v>0</v>
      </c>
      <c r="F189" s="262"/>
    </row>
    <row r="190" spans="1:6" ht="24.75" customHeight="1" x14ac:dyDescent="0.2">
      <c r="A190" s="457" t="s">
        <v>278</v>
      </c>
      <c r="B190" s="461" t="s">
        <v>279</v>
      </c>
      <c r="C190" s="380">
        <f>+[9]BS17A!$D1212</f>
        <v>0</v>
      </c>
      <c r="D190" s="270">
        <f>+[9]BS17A!$U1212</f>
        <v>1840310</v>
      </c>
      <c r="E190" s="345">
        <f>+[9]BS17A!$V1212</f>
        <v>0</v>
      </c>
      <c r="F190" s="262"/>
    </row>
    <row r="191" spans="1:6" ht="12.75" customHeight="1" x14ac:dyDescent="0.2">
      <c r="A191" s="457" t="s">
        <v>280</v>
      </c>
      <c r="B191" s="461" t="s">
        <v>281</v>
      </c>
      <c r="C191" s="380">
        <f>+[9]BS17A!$D1213</f>
        <v>0</v>
      </c>
      <c r="D191" s="270">
        <f>+[9]BS17A!$U1213</f>
        <v>1149460</v>
      </c>
      <c r="E191" s="345">
        <f>+[9]BS17A!$V1213</f>
        <v>0</v>
      </c>
      <c r="F191" s="262"/>
    </row>
    <row r="192" spans="1:6" ht="12.75" customHeight="1" x14ac:dyDescent="0.2">
      <c r="A192" s="435" t="s">
        <v>282</v>
      </c>
      <c r="B192" s="461" t="s">
        <v>283</v>
      </c>
      <c r="C192" s="380">
        <f>+[9]BS17A!$D1214</f>
        <v>0</v>
      </c>
      <c r="D192" s="270">
        <f>+[9]BS17A!$U1214</f>
        <v>1112540</v>
      </c>
      <c r="E192" s="345">
        <f>+[9]BS17A!$V1214</f>
        <v>0</v>
      </c>
      <c r="F192" s="262"/>
    </row>
    <row r="193" spans="1:6" ht="24.75" customHeight="1" x14ac:dyDescent="0.2">
      <c r="A193" s="457" t="s">
        <v>284</v>
      </c>
      <c r="B193" s="461" t="s">
        <v>285</v>
      </c>
      <c r="C193" s="380">
        <f>+[9]BS17A!$D1215</f>
        <v>0</v>
      </c>
      <c r="D193" s="270">
        <f>+[9]BS17A!$U1215</f>
        <v>1165530</v>
      </c>
      <c r="E193" s="345">
        <f>+[9]BS17A!$V1215</f>
        <v>0</v>
      </c>
      <c r="F193" s="262"/>
    </row>
    <row r="194" spans="1:6" ht="12.75" customHeight="1" x14ac:dyDescent="0.2">
      <c r="A194" s="435" t="s">
        <v>286</v>
      </c>
      <c r="B194" s="461" t="s">
        <v>287</v>
      </c>
      <c r="C194" s="380">
        <f>+[9]BS17A!$D1216</f>
        <v>0</v>
      </c>
      <c r="D194" s="270">
        <f>+[9]BS17A!$U1216</f>
        <v>164930</v>
      </c>
      <c r="E194" s="345">
        <f>+[9]BS17A!$V1216</f>
        <v>0</v>
      </c>
      <c r="F194" s="262"/>
    </row>
    <row r="195" spans="1:6" ht="12.75" customHeight="1" x14ac:dyDescent="0.2">
      <c r="A195" s="435" t="s">
        <v>288</v>
      </c>
      <c r="B195" s="461" t="s">
        <v>289</v>
      </c>
      <c r="C195" s="380">
        <f>+[9]BS17A!$D1217</f>
        <v>0</v>
      </c>
      <c r="D195" s="270">
        <f>+[9]BS17A!$U1217</f>
        <v>376370</v>
      </c>
      <c r="E195" s="345">
        <f>+[9]BS17A!$V1217</f>
        <v>0</v>
      </c>
      <c r="F195" s="262"/>
    </row>
    <row r="196" spans="1:6" ht="12.75" customHeight="1" x14ac:dyDescent="0.2">
      <c r="A196" s="457" t="s">
        <v>290</v>
      </c>
      <c r="B196" s="461" t="s">
        <v>291</v>
      </c>
      <c r="C196" s="380">
        <f>+[9]BS17A!$D1218</f>
        <v>0</v>
      </c>
      <c r="D196" s="270">
        <f>+[9]BS17A!$U1218</f>
        <v>139530</v>
      </c>
      <c r="E196" s="345">
        <f>+[9]BS17A!$V1218</f>
        <v>0</v>
      </c>
      <c r="F196" s="262"/>
    </row>
    <row r="197" spans="1:6" ht="12.75" customHeight="1" x14ac:dyDescent="0.2">
      <c r="A197" s="457" t="s">
        <v>292</v>
      </c>
      <c r="B197" s="461" t="s">
        <v>293</v>
      </c>
      <c r="C197" s="380">
        <f>+[9]BS17A!$D1219</f>
        <v>0</v>
      </c>
      <c r="D197" s="270">
        <f>+[9]BS17A!$U1219</f>
        <v>1130520</v>
      </c>
      <c r="E197" s="345">
        <f>+[9]BS17A!$V1219</f>
        <v>0</v>
      </c>
      <c r="F197" s="262"/>
    </row>
    <row r="198" spans="1:6" ht="12.75" customHeight="1" x14ac:dyDescent="0.2">
      <c r="A198" s="457" t="s">
        <v>294</v>
      </c>
      <c r="B198" s="461" t="s">
        <v>295</v>
      </c>
      <c r="C198" s="380">
        <f>+[9]BS17A!$D1220</f>
        <v>0</v>
      </c>
      <c r="D198" s="270">
        <f>+[9]BS17A!$U1220</f>
        <v>1130520</v>
      </c>
      <c r="E198" s="345">
        <f>+[9]BS17A!$V1220</f>
        <v>0</v>
      </c>
      <c r="F198" s="262"/>
    </row>
    <row r="199" spans="1:6" ht="12.75" customHeight="1" x14ac:dyDescent="0.2">
      <c r="A199" s="457">
        <v>1801001</v>
      </c>
      <c r="B199" s="459" t="s">
        <v>296</v>
      </c>
      <c r="C199" s="380">
        <f>+[9]BS17A!$D1354</f>
        <v>64</v>
      </c>
      <c r="D199" s="270">
        <f>+[9]BS17A!$U1354</f>
        <v>33720</v>
      </c>
      <c r="E199" s="345">
        <f>+[9]BS17A!$V1354</f>
        <v>2158080</v>
      </c>
      <c r="F199" s="262"/>
    </row>
    <row r="200" spans="1:6" ht="12.75" customHeight="1" x14ac:dyDescent="0.2">
      <c r="A200" s="457">
        <v>1801003</v>
      </c>
      <c r="B200" s="461" t="s">
        <v>297</v>
      </c>
      <c r="C200" s="380">
        <f>+[9]BS17A!$D1355</f>
        <v>0</v>
      </c>
      <c r="D200" s="270">
        <f>+[9]BS17A!$U1355</f>
        <v>40670</v>
      </c>
      <c r="E200" s="345">
        <f>+[9]BS17A!$V1355</f>
        <v>0</v>
      </c>
      <c r="F200" s="262"/>
    </row>
    <row r="201" spans="1:6" ht="12.75" customHeight="1" x14ac:dyDescent="0.2">
      <c r="A201" s="457">
        <v>1801006</v>
      </c>
      <c r="B201" s="459" t="s">
        <v>298</v>
      </c>
      <c r="C201" s="380">
        <f>+[9]BS17A!$D1356</f>
        <v>15</v>
      </c>
      <c r="D201" s="270">
        <f>+[9]BS17A!$U1356</f>
        <v>43320</v>
      </c>
      <c r="E201" s="345">
        <f>+[9]BS17A!$V1356</f>
        <v>649800</v>
      </c>
      <c r="F201" s="262"/>
    </row>
    <row r="202" spans="1:6" ht="24.75" customHeight="1" x14ac:dyDescent="0.2">
      <c r="A202" s="457" t="s">
        <v>299</v>
      </c>
      <c r="B202" s="459" t="s">
        <v>300</v>
      </c>
      <c r="C202" s="380">
        <f>[9]BS17A!D1036</f>
        <v>0</v>
      </c>
      <c r="D202" s="270">
        <f>[9]BS17A!U1036</f>
        <v>9120</v>
      </c>
      <c r="E202" s="345">
        <f>[9]BS17A!V1036</f>
        <v>0</v>
      </c>
      <c r="F202" s="262"/>
    </row>
    <row r="203" spans="1:6" ht="24.75" customHeight="1" x14ac:dyDescent="0.2">
      <c r="A203" s="464" t="s">
        <v>301</v>
      </c>
      <c r="B203" s="462" t="s">
        <v>302</v>
      </c>
      <c r="C203" s="417">
        <f>[9]BS17A!D807</f>
        <v>0</v>
      </c>
      <c r="D203" s="355">
        <f>[9]BS17A!U807</f>
        <v>386950</v>
      </c>
      <c r="E203" s="356">
        <f>[9]BS17A!V807</f>
        <v>0</v>
      </c>
      <c r="F203" s="262"/>
    </row>
    <row r="204" spans="1:6" ht="17.25" customHeight="1" x14ac:dyDescent="0.2">
      <c r="A204" s="442"/>
      <c r="B204" s="441" t="s">
        <v>303</v>
      </c>
      <c r="C204" s="279">
        <f>SUM(C173:C203)</f>
        <v>1088</v>
      </c>
      <c r="D204" s="348"/>
      <c r="E204" s="349">
        <f>SUM(E173:E203)</f>
        <v>15726360</v>
      </c>
      <c r="F204" s="262"/>
    </row>
    <row r="205" spans="1:6" ht="21.75" customHeight="1" x14ac:dyDescent="0.2">
      <c r="A205" s="262"/>
      <c r="B205" s="262"/>
      <c r="C205" s="262"/>
      <c r="D205" s="262"/>
      <c r="E205" s="262"/>
      <c r="F205" s="262"/>
    </row>
    <row r="206" spans="1:6" ht="19.5" customHeight="1" x14ac:dyDescent="0.2">
      <c r="A206" s="262"/>
      <c r="B206" s="262"/>
      <c r="C206" s="262"/>
      <c r="D206" s="262"/>
      <c r="E206" s="262"/>
      <c r="F206" s="262"/>
    </row>
    <row r="207" spans="1:6" ht="18" customHeight="1" x14ac:dyDescent="0.2">
      <c r="A207" s="583" t="s">
        <v>304</v>
      </c>
      <c r="B207" s="584"/>
      <c r="C207" s="584"/>
      <c r="D207" s="584"/>
      <c r="E207" s="585"/>
      <c r="F207" s="259"/>
    </row>
    <row r="208" spans="1:6" ht="39.75" customHeight="1" x14ac:dyDescent="0.2">
      <c r="A208" s="264" t="s">
        <v>8</v>
      </c>
      <c r="B208" s="264" t="s">
        <v>9</v>
      </c>
      <c r="C208" s="517" t="s">
        <v>10</v>
      </c>
      <c r="D208" s="310" t="s">
        <v>11</v>
      </c>
      <c r="E208" s="519" t="s">
        <v>12</v>
      </c>
      <c r="F208" s="259"/>
    </row>
    <row r="209" spans="1:6" ht="12.75" customHeight="1" x14ac:dyDescent="0.2">
      <c r="A209" s="434" t="s">
        <v>305</v>
      </c>
      <c r="B209" s="451" t="s">
        <v>306</v>
      </c>
      <c r="C209" s="383">
        <f>+[9]BS17A!$D18</f>
        <v>0</v>
      </c>
      <c r="D209" s="275">
        <f>+[9]BS17A!$U18</f>
        <v>14110</v>
      </c>
      <c r="E209" s="344">
        <f>+[9]BS17A!$V18</f>
        <v>0</v>
      </c>
      <c r="F209" s="262"/>
    </row>
    <row r="210" spans="1:6" ht="12.75" customHeight="1" x14ac:dyDescent="0.2">
      <c r="A210" s="435" t="s">
        <v>307</v>
      </c>
      <c r="B210" s="431" t="s">
        <v>308</v>
      </c>
      <c r="C210" s="380">
        <f>+[9]BS17A!$D19</f>
        <v>49</v>
      </c>
      <c r="D210" s="270">
        <f>+[9]BS17A!$U19</f>
        <v>14110</v>
      </c>
      <c r="E210" s="345">
        <f>+[9]BS17A!$V19</f>
        <v>691390</v>
      </c>
      <c r="F210" s="262"/>
    </row>
    <row r="211" spans="1:6" ht="12.75" customHeight="1" x14ac:dyDescent="0.2">
      <c r="A211" s="435" t="s">
        <v>309</v>
      </c>
      <c r="B211" s="430" t="s">
        <v>310</v>
      </c>
      <c r="C211" s="380">
        <f>+[9]BS17A!$D47</f>
        <v>0</v>
      </c>
      <c r="D211" s="270">
        <f>+[9]BS17A!$U47</f>
        <v>1350</v>
      </c>
      <c r="E211" s="345">
        <f>+[9]BS17A!$V47</f>
        <v>0</v>
      </c>
      <c r="F211" s="262"/>
    </row>
    <row r="212" spans="1:6" ht="12.75" customHeight="1" x14ac:dyDescent="0.2">
      <c r="A212" s="435" t="s">
        <v>311</v>
      </c>
      <c r="B212" s="430" t="s">
        <v>312</v>
      </c>
      <c r="C212" s="380">
        <f>+[9]BS17A!$D48</f>
        <v>509</v>
      </c>
      <c r="D212" s="270">
        <f>+[9]BS17A!$U48</f>
        <v>660</v>
      </c>
      <c r="E212" s="345">
        <f>+[9]BS17A!$V48</f>
        <v>335940</v>
      </c>
      <c r="F212" s="262"/>
    </row>
    <row r="213" spans="1:6" ht="12.75" customHeight="1" x14ac:dyDescent="0.2">
      <c r="A213" s="435" t="s">
        <v>313</v>
      </c>
      <c r="B213" s="431" t="s">
        <v>314</v>
      </c>
      <c r="C213" s="380">
        <f>+[9]BS17A!$D49</f>
        <v>513</v>
      </c>
      <c r="D213" s="270">
        <f>+[9]BS17A!$U49</f>
        <v>2000</v>
      </c>
      <c r="E213" s="345">
        <f>+[9]BS17A!$V49</f>
        <v>1026000</v>
      </c>
      <c r="F213" s="262"/>
    </row>
    <row r="214" spans="1:6" ht="12.75" customHeight="1" x14ac:dyDescent="0.2">
      <c r="A214" s="435" t="s">
        <v>315</v>
      </c>
      <c r="B214" s="431" t="s">
        <v>316</v>
      </c>
      <c r="C214" s="380">
        <f>+[9]BS17A!$D50</f>
        <v>55</v>
      </c>
      <c r="D214" s="270">
        <f>+[9]BS17A!$U50</f>
        <v>15030</v>
      </c>
      <c r="E214" s="345">
        <f>+[9]BS17A!$V50</f>
        <v>826650</v>
      </c>
      <c r="F214" s="262"/>
    </row>
    <row r="215" spans="1:6" ht="12.75" customHeight="1" x14ac:dyDescent="0.2">
      <c r="A215" s="435" t="s">
        <v>317</v>
      </c>
      <c r="B215" s="430" t="s">
        <v>318</v>
      </c>
      <c r="C215" s="380">
        <f>+[9]BS17A!$D51</f>
        <v>106</v>
      </c>
      <c r="D215" s="270">
        <f>+[9]BS17A!$U51</f>
        <v>34510</v>
      </c>
      <c r="E215" s="345">
        <f>+[9]BS17A!$V51</f>
        <v>3658060</v>
      </c>
      <c r="F215" s="262"/>
    </row>
    <row r="216" spans="1:6" ht="12.75" customHeight="1" x14ac:dyDescent="0.2">
      <c r="A216" s="457" t="s">
        <v>319</v>
      </c>
      <c r="B216" s="430" t="s">
        <v>320</v>
      </c>
      <c r="C216" s="380">
        <f>+[9]BS17A!D52</f>
        <v>35</v>
      </c>
      <c r="D216" s="357"/>
      <c r="E216" s="345">
        <f>+[9]BS17A!V52</f>
        <v>301350</v>
      </c>
      <c r="F216" s="262"/>
    </row>
    <row r="217" spans="1:6" ht="12.75" customHeight="1" x14ac:dyDescent="0.2">
      <c r="A217" s="436" t="s">
        <v>321</v>
      </c>
      <c r="B217" s="432" t="s">
        <v>322</v>
      </c>
      <c r="C217" s="395">
        <f>+[9]BS17A!$D1861</f>
        <v>47</v>
      </c>
      <c r="D217" s="277">
        <f>+[9]BS17A!$U1861</f>
        <v>27970</v>
      </c>
      <c r="E217" s="350">
        <f>+[9]BS17A!$V1861</f>
        <v>1314590</v>
      </c>
      <c r="F217" s="262"/>
    </row>
    <row r="218" spans="1:6" ht="12.75" x14ac:dyDescent="0.2">
      <c r="A218" s="442"/>
      <c r="B218" s="441" t="s">
        <v>323</v>
      </c>
      <c r="C218" s="279">
        <f>SUM(C209:C217)</f>
        <v>1314</v>
      </c>
      <c r="D218" s="348"/>
      <c r="E218" s="356">
        <f>SUM(E209:E217)</f>
        <v>8153980</v>
      </c>
      <c r="F218" s="262"/>
    </row>
    <row r="219" spans="1:6" ht="17.25" customHeight="1" x14ac:dyDescent="0.2">
      <c r="A219" s="262"/>
      <c r="B219" s="262"/>
      <c r="C219" s="262"/>
      <c r="D219" s="262"/>
      <c r="E219" s="262"/>
      <c r="F219" s="262"/>
    </row>
    <row r="220" spans="1:6" ht="18" customHeight="1" x14ac:dyDescent="0.2">
      <c r="A220" s="262"/>
      <c r="B220" s="262"/>
      <c r="C220" s="262"/>
      <c r="D220" s="262"/>
      <c r="E220" s="262"/>
      <c r="F220" s="262"/>
    </row>
    <row r="221" spans="1:6" ht="27.75" customHeight="1" x14ac:dyDescent="0.2">
      <c r="A221" s="605" t="s">
        <v>324</v>
      </c>
      <c r="B221" s="606"/>
      <c r="C221" s="607"/>
      <c r="D221" s="262"/>
      <c r="E221" s="262"/>
      <c r="F221" s="259"/>
    </row>
    <row r="222" spans="1:6" ht="42.75" customHeight="1" x14ac:dyDescent="0.2">
      <c r="A222" s="264" t="s">
        <v>8</v>
      </c>
      <c r="B222" s="264" t="s">
        <v>10</v>
      </c>
      <c r="C222" s="264" t="s">
        <v>12</v>
      </c>
      <c r="D222" s="259"/>
      <c r="E222" s="262"/>
      <c r="F222" s="262"/>
    </row>
    <row r="223" spans="1:6" ht="15" customHeight="1" x14ac:dyDescent="0.2">
      <c r="A223" s="434" t="s">
        <v>325</v>
      </c>
      <c r="B223" s="452" t="s">
        <v>326</v>
      </c>
      <c r="C223" s="358"/>
      <c r="D223" s="359"/>
      <c r="E223" s="262"/>
      <c r="F223" s="262"/>
    </row>
    <row r="224" spans="1:6" ht="15" customHeight="1" x14ac:dyDescent="0.2">
      <c r="A224" s="455" t="s">
        <v>327</v>
      </c>
      <c r="B224" s="453" t="s">
        <v>328</v>
      </c>
      <c r="C224" s="360"/>
      <c r="D224" s="359"/>
      <c r="E224" s="262"/>
      <c r="F224" s="262"/>
    </row>
    <row r="225" spans="1:7" ht="18" customHeight="1" x14ac:dyDescent="0.2">
      <c r="A225" s="456"/>
      <c r="B225" s="454" t="s">
        <v>329</v>
      </c>
      <c r="C225" s="416">
        <f>SUM(C223:C224)</f>
        <v>0</v>
      </c>
      <c r="D225" s="359"/>
      <c r="E225" s="262"/>
      <c r="F225" s="262"/>
    </row>
    <row r="226" spans="1:7" ht="18" customHeight="1" x14ac:dyDescent="0.2">
      <c r="A226" s="262"/>
      <c r="B226" s="262"/>
      <c r="C226" s="262"/>
      <c r="D226" s="359"/>
      <c r="E226" s="359"/>
      <c r="F226" s="359"/>
    </row>
    <row r="227" spans="1:7" ht="18" customHeight="1" x14ac:dyDescent="0.2">
      <c r="A227" s="262"/>
      <c r="B227" s="262"/>
      <c r="C227" s="262"/>
      <c r="D227" s="262"/>
      <c r="E227" s="262"/>
      <c r="F227" s="359"/>
      <c r="G227" s="361"/>
    </row>
    <row r="228" spans="1:7" ht="18" customHeight="1" x14ac:dyDescent="0.2">
      <c r="A228" s="583" t="s">
        <v>330</v>
      </c>
      <c r="B228" s="584"/>
      <c r="C228" s="584"/>
      <c r="D228" s="584"/>
      <c r="E228" s="585"/>
      <c r="F228" s="359"/>
      <c r="G228" s="361"/>
    </row>
    <row r="229" spans="1:7" ht="56.25" customHeight="1" x14ac:dyDescent="0.2">
      <c r="A229" s="264" t="s">
        <v>8</v>
      </c>
      <c r="B229" s="264" t="s">
        <v>9</v>
      </c>
      <c r="C229" s="517" t="s">
        <v>10</v>
      </c>
      <c r="D229" s="310" t="s">
        <v>11</v>
      </c>
      <c r="E229" s="519" t="s">
        <v>12</v>
      </c>
      <c r="F229" s="359"/>
      <c r="G229" s="361"/>
    </row>
    <row r="230" spans="1:7" ht="15" customHeight="1" x14ac:dyDescent="0.2">
      <c r="A230" s="434" t="s">
        <v>331</v>
      </c>
      <c r="B230" s="451" t="s">
        <v>332</v>
      </c>
      <c r="C230" s="414">
        <f>+[9]BS17A!$D1941</f>
        <v>336</v>
      </c>
      <c r="D230" s="275">
        <f>+[9]BS17A!$U1941</f>
        <v>19310</v>
      </c>
      <c r="E230" s="344">
        <f>+[9]BS17A!$V1941</f>
        <v>6488160</v>
      </c>
      <c r="F230" s="262"/>
    </row>
    <row r="231" spans="1:7" ht="15" customHeight="1" x14ac:dyDescent="0.2">
      <c r="A231" s="436" t="s">
        <v>333</v>
      </c>
      <c r="B231" s="432" t="s">
        <v>334</v>
      </c>
      <c r="C231" s="415">
        <f>+[9]BS17A!$D1942</f>
        <v>0</v>
      </c>
      <c r="D231" s="277">
        <f>+[9]BS17A!$U1942</f>
        <v>242060</v>
      </c>
      <c r="E231" s="350">
        <f>+[9]BS17A!$V1942</f>
        <v>0</v>
      </c>
      <c r="F231" s="262"/>
    </row>
    <row r="232" spans="1:7" ht="18" customHeight="1" x14ac:dyDescent="0.2">
      <c r="A232" s="442"/>
      <c r="B232" s="441" t="s">
        <v>335</v>
      </c>
      <c r="C232" s="279">
        <f>SUM(C230:C231)</f>
        <v>336</v>
      </c>
      <c r="D232" s="348"/>
      <c r="E232" s="349">
        <f>SUM(E230:E231)</f>
        <v>6488160</v>
      </c>
      <c r="F232" s="262"/>
    </row>
    <row r="233" spans="1:7" ht="18" customHeight="1" x14ac:dyDescent="0.2">
      <c r="A233" s="362"/>
      <c r="B233" s="363"/>
      <c r="C233" s="364"/>
      <c r="D233" s="362"/>
      <c r="E233" s="362"/>
      <c r="F233" s="262"/>
    </row>
    <row r="234" spans="1:7" ht="18" customHeight="1" x14ac:dyDescent="0.2">
      <c r="A234" s="362"/>
      <c r="B234" s="363"/>
      <c r="C234" s="364"/>
      <c r="D234" s="362"/>
      <c r="E234" s="362"/>
      <c r="F234" s="262"/>
    </row>
    <row r="235" spans="1:7" ht="18" customHeight="1" x14ac:dyDescent="0.2">
      <c r="A235" s="591" t="s">
        <v>336</v>
      </c>
      <c r="B235" s="584"/>
      <c r="C235" s="584"/>
      <c r="D235" s="584"/>
      <c r="E235" s="585"/>
      <c r="F235" s="262"/>
    </row>
    <row r="236" spans="1:7" ht="41.25" customHeight="1" x14ac:dyDescent="0.2">
      <c r="A236" s="264" t="s">
        <v>8</v>
      </c>
      <c r="B236" s="264" t="s">
        <v>9</v>
      </c>
      <c r="C236" s="517" t="s">
        <v>10</v>
      </c>
      <c r="D236" s="310" t="s">
        <v>11</v>
      </c>
      <c r="E236" s="519" t="s">
        <v>12</v>
      </c>
      <c r="F236" s="262"/>
    </row>
    <row r="237" spans="1:7" ht="18" customHeight="1" x14ac:dyDescent="0.2">
      <c r="A237" s="341" t="s">
        <v>337</v>
      </c>
      <c r="B237" s="287" t="s">
        <v>338</v>
      </c>
      <c r="C237" s="365">
        <f>[9]BS17A!D768</f>
        <v>631</v>
      </c>
      <c r="D237" s="366"/>
      <c r="E237" s="367">
        <f>[9]BS17A!V768</f>
        <v>4353600</v>
      </c>
      <c r="F237" s="262"/>
    </row>
    <row r="238" spans="1:7" ht="18" customHeight="1" x14ac:dyDescent="0.2">
      <c r="A238" s="362"/>
      <c r="B238" s="363"/>
      <c r="C238" s="364"/>
      <c r="D238" s="362"/>
      <c r="E238" s="362"/>
      <c r="F238" s="262"/>
    </row>
    <row r="239" spans="1:7" ht="18" customHeight="1" x14ac:dyDescent="0.2">
      <c r="A239" s="591" t="s">
        <v>339</v>
      </c>
      <c r="B239" s="592"/>
      <c r="C239" s="592"/>
      <c r="D239" s="592"/>
      <c r="E239" s="593"/>
      <c r="F239" s="262"/>
    </row>
    <row r="240" spans="1:7" ht="43.5" customHeight="1" x14ac:dyDescent="0.2">
      <c r="A240" s="264" t="s">
        <v>8</v>
      </c>
      <c r="B240" s="517" t="s">
        <v>340</v>
      </c>
      <c r="C240" s="309" t="s">
        <v>341</v>
      </c>
      <c r="D240" s="310" t="s">
        <v>11</v>
      </c>
      <c r="E240" s="519" t="s">
        <v>12</v>
      </c>
      <c r="F240" s="262"/>
    </row>
    <row r="241" spans="1:6" ht="15" customHeight="1" x14ac:dyDescent="0.2">
      <c r="A241" s="274" t="s">
        <v>342</v>
      </c>
      <c r="B241" s="397" t="s">
        <v>343</v>
      </c>
      <c r="C241" s="383">
        <f>+[9]BS17A!$D1944</f>
        <v>0</v>
      </c>
      <c r="D241" s="275">
        <f>+[9]BS17A!$U1944</f>
        <v>247230</v>
      </c>
      <c r="E241" s="344">
        <f>+[9]BS17A!$V1944</f>
        <v>0</v>
      </c>
      <c r="F241" s="262"/>
    </row>
    <row r="242" spans="1:6" ht="15" customHeight="1" x14ac:dyDescent="0.2">
      <c r="A242" s="269" t="s">
        <v>344</v>
      </c>
      <c r="B242" s="398" t="s">
        <v>345</v>
      </c>
      <c r="C242" s="380">
        <f>+[9]BS17A!$D1945</f>
        <v>0</v>
      </c>
      <c r="D242" s="270">
        <f>+[9]BS17A!$U1945</f>
        <v>35130</v>
      </c>
      <c r="E242" s="345">
        <f>+[9]BS17A!$V1945</f>
        <v>0</v>
      </c>
      <c r="F242" s="262"/>
    </row>
    <row r="243" spans="1:6" ht="15" customHeight="1" x14ac:dyDescent="0.2">
      <c r="A243" s="269" t="s">
        <v>346</v>
      </c>
      <c r="B243" s="398" t="s">
        <v>347</v>
      </c>
      <c r="C243" s="380">
        <f>+[9]BS17A!$D1946</f>
        <v>0</v>
      </c>
      <c r="D243" s="270">
        <f>+[9]BS17A!$U1946</f>
        <v>132520</v>
      </c>
      <c r="E243" s="345">
        <f>+[9]BS17A!$V1946</f>
        <v>0</v>
      </c>
      <c r="F243" s="262"/>
    </row>
    <row r="244" spans="1:6" ht="15" customHeight="1" x14ac:dyDescent="0.2">
      <c r="A244" s="269" t="s">
        <v>348</v>
      </c>
      <c r="B244" s="398" t="s">
        <v>349</v>
      </c>
      <c r="C244" s="380">
        <f>+[9]BS17A!$D1947</f>
        <v>0</v>
      </c>
      <c r="D244" s="270">
        <f>+[9]BS17A!$U1947</f>
        <v>132520</v>
      </c>
      <c r="E244" s="345">
        <f>+[9]BS17A!$V1947</f>
        <v>0</v>
      </c>
      <c r="F244" s="262"/>
    </row>
    <row r="245" spans="1:6" ht="15" customHeight="1" x14ac:dyDescent="0.2">
      <c r="A245" s="269" t="s">
        <v>350</v>
      </c>
      <c r="B245" s="398" t="s">
        <v>351</v>
      </c>
      <c r="C245" s="380">
        <f>+[9]BS17A!$D1948</f>
        <v>0</v>
      </c>
      <c r="D245" s="270">
        <f>+[9]BS17A!$U1948</f>
        <v>241260</v>
      </c>
      <c r="E245" s="345">
        <f>+[9]BS17A!$V1948</f>
        <v>0</v>
      </c>
      <c r="F245" s="262"/>
    </row>
    <row r="246" spans="1:6" ht="15" customHeight="1" x14ac:dyDescent="0.2">
      <c r="A246" s="269" t="s">
        <v>352</v>
      </c>
      <c r="B246" s="398" t="s">
        <v>353</v>
      </c>
      <c r="C246" s="380">
        <f>+[9]BS17A!$D1949</f>
        <v>0</v>
      </c>
      <c r="D246" s="270">
        <f>+[9]BS17A!$U1949</f>
        <v>370240</v>
      </c>
      <c r="E246" s="345">
        <f>+[9]BS17A!$V1949</f>
        <v>0</v>
      </c>
      <c r="F246" s="262"/>
    </row>
    <row r="247" spans="1:6" ht="15" customHeight="1" x14ac:dyDescent="0.2">
      <c r="A247" s="269" t="s">
        <v>354</v>
      </c>
      <c r="B247" s="398" t="s">
        <v>355</v>
      </c>
      <c r="C247" s="380">
        <f>+[9]BS17A!$D1950</f>
        <v>0</v>
      </c>
      <c r="D247" s="270">
        <f>+[9]BS17A!$U1950</f>
        <v>631610</v>
      </c>
      <c r="E247" s="345">
        <f>+[9]BS17A!$V1950</f>
        <v>0</v>
      </c>
      <c r="F247" s="262"/>
    </row>
    <row r="248" spans="1:6" ht="15" customHeight="1" x14ac:dyDescent="0.2">
      <c r="A248" s="292" t="s">
        <v>356</v>
      </c>
      <c r="B248" s="398" t="s">
        <v>357</v>
      </c>
      <c r="C248" s="380">
        <f>+[9]BS17A!$D1951</f>
        <v>0</v>
      </c>
      <c r="D248" s="270">
        <f>+[9]BS17A!$U1951</f>
        <v>131550</v>
      </c>
      <c r="E248" s="345">
        <f>+[9]BS17A!$V1951</f>
        <v>0</v>
      </c>
      <c r="F248" s="262"/>
    </row>
    <row r="249" spans="1:6" ht="15" customHeight="1" x14ac:dyDescent="0.2">
      <c r="A249" s="292" t="s">
        <v>358</v>
      </c>
      <c r="B249" s="398" t="s">
        <v>359</v>
      </c>
      <c r="C249" s="380">
        <f>+[9]BS17A!$D1952</f>
        <v>0</v>
      </c>
      <c r="D249" s="270">
        <f>+[9]BS17A!$U1952</f>
        <v>354560</v>
      </c>
      <c r="E249" s="345">
        <f>+[9]BS17A!$V1952</f>
        <v>0</v>
      </c>
      <c r="F249" s="262"/>
    </row>
    <row r="250" spans="1:6" ht="15" customHeight="1" x14ac:dyDescent="0.2">
      <c r="A250" s="292" t="s">
        <v>360</v>
      </c>
      <c r="B250" s="398" t="s">
        <v>361</v>
      </c>
      <c r="C250" s="410">
        <f>+[9]BS17A!$D1953</f>
        <v>0</v>
      </c>
      <c r="D250" s="272">
        <f>+[9]BS17A!$U1953</f>
        <v>149290</v>
      </c>
      <c r="E250" s="368">
        <f>+[9]BS17A!$V1953</f>
        <v>0</v>
      </c>
      <c r="F250" s="262"/>
    </row>
    <row r="251" spans="1:6" ht="15" customHeight="1" x14ac:dyDescent="0.2">
      <c r="A251" s="292" t="s">
        <v>362</v>
      </c>
      <c r="B251" s="398" t="s">
        <v>363</v>
      </c>
      <c r="C251" s="410">
        <f>+[9]BS17A!$D1954</f>
        <v>0</v>
      </c>
      <c r="D251" s="272">
        <f>+[9]BS17A!$U1954</f>
        <v>129730</v>
      </c>
      <c r="E251" s="368">
        <f>+[9]BS17A!$V1954</f>
        <v>0</v>
      </c>
      <c r="F251" s="262"/>
    </row>
    <row r="252" spans="1:6" ht="15" customHeight="1" x14ac:dyDescent="0.2">
      <c r="A252" s="292" t="s">
        <v>364</v>
      </c>
      <c r="B252" s="398" t="s">
        <v>365</v>
      </c>
      <c r="C252" s="410">
        <f>+[9]BS17A!$D1955</f>
        <v>0</v>
      </c>
      <c r="D252" s="272">
        <f>+[9]BS17A!$U1955</f>
        <v>197230</v>
      </c>
      <c r="E252" s="368">
        <f>+[9]BS17A!$V1955</f>
        <v>0</v>
      </c>
      <c r="F252" s="262"/>
    </row>
    <row r="253" spans="1:6" ht="15" customHeight="1" x14ac:dyDescent="0.2">
      <c r="A253" s="292" t="s">
        <v>366</v>
      </c>
      <c r="B253" s="398" t="s">
        <v>367</v>
      </c>
      <c r="C253" s="410">
        <f>+[9]BS17A!$D1956</f>
        <v>0</v>
      </c>
      <c r="D253" s="272">
        <f>+[9]BS17A!$U1956</f>
        <v>51900</v>
      </c>
      <c r="E253" s="368">
        <f>+[9]BS17A!$V1956</f>
        <v>0</v>
      </c>
      <c r="F253" s="262"/>
    </row>
    <row r="254" spans="1:6" ht="15" customHeight="1" x14ac:dyDescent="0.2">
      <c r="A254" s="327" t="s">
        <v>368</v>
      </c>
      <c r="B254" s="409" t="s">
        <v>369</v>
      </c>
      <c r="C254" s="395">
        <f>+[9]BS17A!$D1957</f>
        <v>0</v>
      </c>
      <c r="D254" s="277">
        <f>+[9]BS17A!$U1957</f>
        <v>38790</v>
      </c>
      <c r="E254" s="350">
        <f>+[9]BS17A!$V1957</f>
        <v>0</v>
      </c>
      <c r="F254" s="262"/>
    </row>
    <row r="255" spans="1:6" ht="15" customHeight="1" x14ac:dyDescent="0.2">
      <c r="A255" s="586" t="s">
        <v>370</v>
      </c>
      <c r="B255" s="587"/>
      <c r="C255" s="587"/>
      <c r="D255" s="587"/>
      <c r="E255" s="588"/>
      <c r="F255" s="262"/>
    </row>
    <row r="256" spans="1:6" ht="15" customHeight="1" x14ac:dyDescent="0.2">
      <c r="A256" s="434" t="s">
        <v>371</v>
      </c>
      <c r="B256" s="448" t="s">
        <v>343</v>
      </c>
      <c r="C256" s="383">
        <f>+[9]BS17A!$D1958</f>
        <v>0</v>
      </c>
      <c r="D256" s="275">
        <f>+[9]BS17A!$U1958</f>
        <v>212700</v>
      </c>
      <c r="E256" s="344">
        <f>+[9]BS17A!$V1958</f>
        <v>0</v>
      </c>
      <c r="F256" s="262"/>
    </row>
    <row r="257" spans="1:6" ht="15" customHeight="1" x14ac:dyDescent="0.2">
      <c r="A257" s="435" t="s">
        <v>372</v>
      </c>
      <c r="B257" s="449" t="s">
        <v>373</v>
      </c>
      <c r="C257" s="380">
        <f>+[9]BS17A!$D1959</f>
        <v>0</v>
      </c>
      <c r="D257" s="270">
        <f>+[9]BS17A!$U1959</f>
        <v>1265290</v>
      </c>
      <c r="E257" s="345">
        <f>+[9]BS17A!$V1959</f>
        <v>0</v>
      </c>
      <c r="F257" s="262"/>
    </row>
    <row r="258" spans="1:6" ht="15" customHeight="1" x14ac:dyDescent="0.2">
      <c r="A258" s="435" t="s">
        <v>374</v>
      </c>
      <c r="B258" s="449" t="s">
        <v>375</v>
      </c>
      <c r="C258" s="380">
        <f>+[9]BS17A!$D1960</f>
        <v>0</v>
      </c>
      <c r="D258" s="270">
        <f>+[9]BS17A!$U1960</f>
        <v>190900</v>
      </c>
      <c r="E258" s="345">
        <f>+[9]BS17A!$V1960</f>
        <v>0</v>
      </c>
      <c r="F258" s="262"/>
    </row>
    <row r="259" spans="1:6" ht="15" customHeight="1" x14ac:dyDescent="0.2">
      <c r="A259" s="435" t="s">
        <v>376</v>
      </c>
      <c r="B259" s="449" t="s">
        <v>377</v>
      </c>
      <c r="C259" s="380">
        <f>+[9]BS17A!$D1961</f>
        <v>0</v>
      </c>
      <c r="D259" s="270">
        <f>+[9]BS17A!$U1961</f>
        <v>168820</v>
      </c>
      <c r="E259" s="345">
        <f>+[9]BS17A!$V1961</f>
        <v>0</v>
      </c>
      <c r="F259" s="262"/>
    </row>
    <row r="260" spans="1:6" ht="15" customHeight="1" x14ac:dyDescent="0.2">
      <c r="A260" s="435" t="s">
        <v>378</v>
      </c>
      <c r="B260" s="449" t="s">
        <v>379</v>
      </c>
      <c r="C260" s="380">
        <f>+[9]BS17A!$D1962</f>
        <v>0</v>
      </c>
      <c r="D260" s="270">
        <f>+[9]BS17A!$U1962</f>
        <v>342700</v>
      </c>
      <c r="E260" s="345">
        <f>+[9]BS17A!$V1962</f>
        <v>0</v>
      </c>
      <c r="F260" s="262"/>
    </row>
    <row r="261" spans="1:6" ht="15" customHeight="1" x14ac:dyDescent="0.2">
      <c r="A261" s="435" t="s">
        <v>380</v>
      </c>
      <c r="B261" s="449" t="s">
        <v>381</v>
      </c>
      <c r="C261" s="380">
        <f>+[9]BS17A!$D1963</f>
        <v>0</v>
      </c>
      <c r="D261" s="270">
        <f>+[9]BS17A!$U1963</f>
        <v>1139590</v>
      </c>
      <c r="E261" s="345">
        <f>+[9]BS17A!$V1963</f>
        <v>0</v>
      </c>
      <c r="F261" s="262"/>
    </row>
    <row r="262" spans="1:6" ht="15" customHeight="1" x14ac:dyDescent="0.2">
      <c r="A262" s="435" t="s">
        <v>382</v>
      </c>
      <c r="B262" s="449" t="s">
        <v>383</v>
      </c>
      <c r="C262" s="380">
        <f>+[9]BS17A!$D1964</f>
        <v>0</v>
      </c>
      <c r="D262" s="270">
        <f>+[9]BS17A!$U1964</f>
        <v>1171120</v>
      </c>
      <c r="E262" s="345">
        <f>+[9]BS17A!$V1964</f>
        <v>0</v>
      </c>
      <c r="F262" s="262"/>
    </row>
    <row r="263" spans="1:6" ht="15" customHeight="1" x14ac:dyDescent="0.2">
      <c r="A263" s="435" t="s">
        <v>384</v>
      </c>
      <c r="B263" s="449" t="s">
        <v>385</v>
      </c>
      <c r="C263" s="380">
        <f>+[9]BS17A!$D1965</f>
        <v>0</v>
      </c>
      <c r="D263" s="270">
        <f>+[9]BS17A!$U1965</f>
        <v>927270</v>
      </c>
      <c r="E263" s="345">
        <f>+[9]BS17A!$V1965</f>
        <v>0</v>
      </c>
      <c r="F263" s="262"/>
    </row>
    <row r="264" spans="1:6" ht="15" customHeight="1" x14ac:dyDescent="0.2">
      <c r="A264" s="435" t="s">
        <v>386</v>
      </c>
      <c r="B264" s="449" t="s">
        <v>387</v>
      </c>
      <c r="C264" s="380">
        <f>+[9]BS17A!$D1966</f>
        <v>0</v>
      </c>
      <c r="D264" s="270">
        <f>+[9]BS17A!$U1966</f>
        <v>977250</v>
      </c>
      <c r="E264" s="345">
        <f>+[9]BS17A!$V1966</f>
        <v>0</v>
      </c>
      <c r="F264" s="262"/>
    </row>
    <row r="265" spans="1:6" ht="15" customHeight="1" x14ac:dyDescent="0.2">
      <c r="A265" s="435" t="s">
        <v>388</v>
      </c>
      <c r="B265" s="449" t="s">
        <v>389</v>
      </c>
      <c r="C265" s="380">
        <f>+[9]BS17A!$D1967</f>
        <v>0</v>
      </c>
      <c r="D265" s="270">
        <f>+[9]BS17A!$U1967</f>
        <v>385520</v>
      </c>
      <c r="E265" s="345">
        <f>+[9]BS17A!$V1967</f>
        <v>0</v>
      </c>
      <c r="F265" s="262"/>
    </row>
    <row r="266" spans="1:6" ht="15" customHeight="1" x14ac:dyDescent="0.2">
      <c r="A266" s="435" t="s">
        <v>390</v>
      </c>
      <c r="B266" s="449" t="s">
        <v>391</v>
      </c>
      <c r="C266" s="380">
        <f>+[9]BS17A!$D1968</f>
        <v>0</v>
      </c>
      <c r="D266" s="270">
        <f>+[9]BS17A!$U1968</f>
        <v>92330</v>
      </c>
      <c r="E266" s="345">
        <f>+[9]BS17A!$V1968</f>
        <v>0</v>
      </c>
      <c r="F266" s="262"/>
    </row>
    <row r="267" spans="1:6" ht="15" customHeight="1" x14ac:dyDescent="0.2">
      <c r="A267" s="435" t="s">
        <v>392</v>
      </c>
      <c r="B267" s="449" t="s">
        <v>393</v>
      </c>
      <c r="C267" s="380">
        <f>+[9]BS17A!$D1969</f>
        <v>0</v>
      </c>
      <c r="D267" s="270">
        <f>+[9]BS17A!$U1969</f>
        <v>275450</v>
      </c>
      <c r="E267" s="345">
        <f>+[9]BS17A!$V1969</f>
        <v>0</v>
      </c>
      <c r="F267" s="262"/>
    </row>
    <row r="268" spans="1:6" ht="15" customHeight="1" x14ac:dyDescent="0.2">
      <c r="A268" s="435" t="s">
        <v>394</v>
      </c>
      <c r="B268" s="431" t="s">
        <v>395</v>
      </c>
      <c r="C268" s="380">
        <f>+[9]BS17A!$D1970</f>
        <v>0</v>
      </c>
      <c r="D268" s="270">
        <f>+[9]BS17A!$U1970</f>
        <v>77880</v>
      </c>
      <c r="E268" s="345">
        <f>+[9]BS17A!$V1970</f>
        <v>0</v>
      </c>
      <c r="F268" s="262"/>
    </row>
    <row r="269" spans="1:6" ht="15" customHeight="1" x14ac:dyDescent="0.2">
      <c r="A269" s="435" t="s">
        <v>396</v>
      </c>
      <c r="B269" s="431" t="s">
        <v>397</v>
      </c>
      <c r="C269" s="380">
        <f>+[9]BS17A!$D1971</f>
        <v>0</v>
      </c>
      <c r="D269" s="270">
        <f>+[9]BS17A!$U1971</f>
        <v>1338250</v>
      </c>
      <c r="E269" s="345">
        <f>+[9]BS17A!$V1971</f>
        <v>0</v>
      </c>
      <c r="F269" s="262"/>
    </row>
    <row r="270" spans="1:6" ht="15" customHeight="1" x14ac:dyDescent="0.2">
      <c r="A270" s="435" t="s">
        <v>398</v>
      </c>
      <c r="B270" s="431" t="s">
        <v>399</v>
      </c>
      <c r="C270" s="380">
        <f>+[9]BS17A!$D1972</f>
        <v>0</v>
      </c>
      <c r="D270" s="270">
        <f>+[9]BS17A!$U1972</f>
        <v>312910</v>
      </c>
      <c r="E270" s="345">
        <f>+[9]BS17A!$V1972</f>
        <v>0</v>
      </c>
      <c r="F270" s="262"/>
    </row>
    <row r="271" spans="1:6" ht="15" customHeight="1" x14ac:dyDescent="0.2">
      <c r="A271" s="435" t="s">
        <v>400</v>
      </c>
      <c r="B271" s="431" t="s">
        <v>401</v>
      </c>
      <c r="C271" s="380">
        <f>+[9]BS17A!$D1973</f>
        <v>0</v>
      </c>
      <c r="D271" s="270">
        <f>+[9]BS17A!$U1973</f>
        <v>1048270</v>
      </c>
      <c r="E271" s="345">
        <f>+[9]BS17A!$V1973</f>
        <v>0</v>
      </c>
      <c r="F271" s="262"/>
    </row>
    <row r="272" spans="1:6" ht="15" customHeight="1" x14ac:dyDescent="0.2">
      <c r="A272" s="435" t="s">
        <v>402</v>
      </c>
      <c r="B272" s="450" t="s">
        <v>403</v>
      </c>
      <c r="C272" s="380">
        <f>+[9]BS17A!$D1974</f>
        <v>0</v>
      </c>
      <c r="D272" s="270">
        <f>+[9]BS17A!$U1974</f>
        <v>641750</v>
      </c>
      <c r="E272" s="345">
        <f>+[9]BS17A!$V1974</f>
        <v>0</v>
      </c>
      <c r="F272" s="262"/>
    </row>
    <row r="273" spans="1:10" ht="15" customHeight="1" x14ac:dyDescent="0.2">
      <c r="A273" s="436" t="s">
        <v>404</v>
      </c>
      <c r="B273" s="450" t="s">
        <v>405</v>
      </c>
      <c r="C273" s="395">
        <f>+[9]BS17A!$D1975</f>
        <v>0</v>
      </c>
      <c r="D273" s="272">
        <f>+[9]BS17A!$U1975</f>
        <v>523710</v>
      </c>
      <c r="E273" s="368">
        <f>+[9]BS17A!$V1975</f>
        <v>0</v>
      </c>
      <c r="F273" s="262"/>
    </row>
    <row r="274" spans="1:10" ht="15" customHeight="1" x14ac:dyDescent="0.2">
      <c r="A274" s="586" t="s">
        <v>406</v>
      </c>
      <c r="B274" s="587"/>
      <c r="C274" s="587"/>
      <c r="D274" s="587"/>
      <c r="E274" s="588"/>
      <c r="F274" s="262"/>
    </row>
    <row r="275" spans="1:10" ht="15" customHeight="1" x14ac:dyDescent="0.2">
      <c r="A275" s="434" t="s">
        <v>407</v>
      </c>
      <c r="B275" s="443" t="s">
        <v>408</v>
      </c>
      <c r="C275" s="412">
        <f>+[9]BS17A!$D1976</f>
        <v>0</v>
      </c>
      <c r="D275" s="267">
        <f>[9]BS17A!U1976</f>
        <v>282310</v>
      </c>
      <c r="E275" s="369">
        <f>+[9]BS17A!$V1976</f>
        <v>0</v>
      </c>
      <c r="F275" s="262"/>
    </row>
    <row r="276" spans="1:10" ht="15" customHeight="1" x14ac:dyDescent="0.2">
      <c r="A276" s="435" t="s">
        <v>409</v>
      </c>
      <c r="B276" s="431" t="s">
        <v>410</v>
      </c>
      <c r="C276" s="380">
        <f>+[9]BS17A!$D1977</f>
        <v>0</v>
      </c>
      <c r="D276" s="270">
        <f>[9]BS17A!U1977</f>
        <v>164590</v>
      </c>
      <c r="E276" s="345">
        <f>+[9]BS17A!$V1977</f>
        <v>0</v>
      </c>
      <c r="F276" s="262"/>
    </row>
    <row r="277" spans="1:10" ht="15" customHeight="1" x14ac:dyDescent="0.2">
      <c r="A277" s="435" t="s">
        <v>411</v>
      </c>
      <c r="B277" s="431" t="s">
        <v>412</v>
      </c>
      <c r="C277" s="380">
        <f>+[9]BS17A!$D1978</f>
        <v>0</v>
      </c>
      <c r="D277" s="270">
        <f>[9]BS17A!U1978</f>
        <v>397700</v>
      </c>
      <c r="E277" s="345">
        <f>+[9]BS17A!$V1978</f>
        <v>0</v>
      </c>
      <c r="F277" s="262"/>
    </row>
    <row r="278" spans="1:10" ht="15" customHeight="1" x14ac:dyDescent="0.2">
      <c r="A278" s="435" t="s">
        <v>413</v>
      </c>
      <c r="B278" s="431" t="s">
        <v>414</v>
      </c>
      <c r="C278" s="380">
        <f>+[9]BS17A!$D1979</f>
        <v>0</v>
      </c>
      <c r="D278" s="270">
        <f>[9]BS17A!U1979</f>
        <v>412140</v>
      </c>
      <c r="E278" s="345">
        <f>+[9]BS17A!$V1979</f>
        <v>0</v>
      </c>
      <c r="F278" s="262"/>
    </row>
    <row r="279" spans="1:10" ht="15" customHeight="1" x14ac:dyDescent="0.2">
      <c r="A279" s="436" t="s">
        <v>415</v>
      </c>
      <c r="B279" s="444" t="s">
        <v>416</v>
      </c>
      <c r="C279" s="395">
        <f>+[9]BS17A!$D1980</f>
        <v>0</v>
      </c>
      <c r="D279" s="277">
        <f>[9]BS17A!U1980</f>
        <v>257530</v>
      </c>
      <c r="E279" s="350">
        <f>+[9]BS17A!$V1980</f>
        <v>0</v>
      </c>
      <c r="F279" s="370"/>
    </row>
    <row r="280" spans="1:10" ht="15" customHeight="1" x14ac:dyDescent="0.2">
      <c r="A280" s="447" t="s">
        <v>417</v>
      </c>
      <c r="B280" s="445" t="s">
        <v>418</v>
      </c>
      <c r="C280" s="413">
        <f>+[9]BS17A!$D1981</f>
        <v>109</v>
      </c>
      <c r="D280" s="371">
        <f>[9]BS17A!U1981</f>
        <v>35020</v>
      </c>
      <c r="E280" s="367">
        <f>+[9]BS17A!$V1981</f>
        <v>3817180</v>
      </c>
      <c r="F280" s="370"/>
    </row>
    <row r="281" spans="1:10" ht="15" customHeight="1" x14ac:dyDescent="0.2">
      <c r="A281" s="442"/>
      <c r="B281" s="446" t="s">
        <v>419</v>
      </c>
      <c r="C281" s="279">
        <f>SUM(C241:C280)</f>
        <v>109</v>
      </c>
      <c r="D281" s="348"/>
      <c r="E281" s="349">
        <f>SUM(E241:E280)</f>
        <v>3817180</v>
      </c>
      <c r="F281" s="370"/>
    </row>
    <row r="282" spans="1:10" ht="18" customHeight="1" x14ac:dyDescent="0.2">
      <c r="A282" s="362"/>
      <c r="B282" s="262"/>
      <c r="C282" s="262"/>
      <c r="D282" s="362"/>
      <c r="E282" s="362"/>
      <c r="F282" s="262"/>
    </row>
    <row r="283" spans="1:10" ht="18" customHeight="1" x14ac:dyDescent="0.2">
      <c r="A283" s="362"/>
      <c r="B283" s="364"/>
      <c r="C283" s="364"/>
      <c r="D283" s="362"/>
      <c r="E283" s="362"/>
      <c r="F283" s="372"/>
      <c r="G283" s="373"/>
      <c r="J283" s="374"/>
    </row>
    <row r="284" spans="1:10" ht="12.75" customHeight="1" x14ac:dyDescent="0.2">
      <c r="A284" s="591" t="s">
        <v>420</v>
      </c>
      <c r="B284" s="592"/>
      <c r="C284" s="592"/>
      <c r="D284" s="592"/>
      <c r="E284" s="593"/>
      <c r="F284" s="262"/>
    </row>
    <row r="285" spans="1:10" ht="44.25" customHeight="1" x14ac:dyDescent="0.2">
      <c r="A285" s="264" t="s">
        <v>8</v>
      </c>
      <c r="B285" s="264" t="s">
        <v>420</v>
      </c>
      <c r="C285" s="517" t="s">
        <v>341</v>
      </c>
      <c r="D285" s="310" t="s">
        <v>11</v>
      </c>
      <c r="E285" s="519" t="s">
        <v>12</v>
      </c>
      <c r="F285" s="370"/>
    </row>
    <row r="286" spans="1:10" ht="15" customHeight="1" x14ac:dyDescent="0.2">
      <c r="A286" s="434" t="s">
        <v>421</v>
      </c>
      <c r="B286" s="438" t="s">
        <v>422</v>
      </c>
      <c r="C286" s="383">
        <f>+[9]BS17A!$D1983</f>
        <v>4</v>
      </c>
      <c r="D286" s="275">
        <f>+[9]BS17A!$U1983</f>
        <v>6890</v>
      </c>
      <c r="E286" s="344">
        <f>+[9]BS17A!$V1983</f>
        <v>27560</v>
      </c>
      <c r="F286" s="262"/>
    </row>
    <row r="287" spans="1:10" ht="15" customHeight="1" x14ac:dyDescent="0.2">
      <c r="A287" s="435" t="s">
        <v>423</v>
      </c>
      <c r="B287" s="439" t="s">
        <v>424</v>
      </c>
      <c r="C287" s="380">
        <f>+[9]BS17A!$D1984</f>
        <v>0</v>
      </c>
      <c r="D287" s="270">
        <f>+[9]BS17A!$U1984</f>
        <v>3670</v>
      </c>
      <c r="E287" s="345">
        <f>+[9]BS17A!$V1984</f>
        <v>0</v>
      </c>
      <c r="F287" s="262"/>
    </row>
    <row r="288" spans="1:10" ht="15" customHeight="1" x14ac:dyDescent="0.2">
      <c r="A288" s="435" t="s">
        <v>425</v>
      </c>
      <c r="B288" s="439" t="s">
        <v>426</v>
      </c>
      <c r="C288" s="380">
        <f>+[9]BS17A!$D1985</f>
        <v>1</v>
      </c>
      <c r="D288" s="270">
        <f>+[9]BS17A!$U1985</f>
        <v>13830</v>
      </c>
      <c r="E288" s="345">
        <f>+[9]BS17A!$V1985</f>
        <v>13830</v>
      </c>
      <c r="F288" s="262"/>
    </row>
    <row r="289" spans="1:7" ht="15" customHeight="1" x14ac:dyDescent="0.2">
      <c r="A289" s="435" t="s">
        <v>427</v>
      </c>
      <c r="B289" s="439" t="s">
        <v>428</v>
      </c>
      <c r="C289" s="380">
        <f>+[9]BS17A!$D1986</f>
        <v>0</v>
      </c>
      <c r="D289" s="270">
        <f>+[9]BS17A!$U1986</f>
        <v>141790</v>
      </c>
      <c r="E289" s="345">
        <f>+[9]BS17A!$V1986</f>
        <v>0</v>
      </c>
      <c r="F289" s="262"/>
    </row>
    <row r="290" spans="1:7" ht="15" customHeight="1" x14ac:dyDescent="0.2">
      <c r="A290" s="436" t="s">
        <v>429</v>
      </c>
      <c r="B290" s="440" t="s">
        <v>430</v>
      </c>
      <c r="C290" s="395">
        <f>+[9]BS17A!$D1987</f>
        <v>1</v>
      </c>
      <c r="D290" s="277">
        <f>+[9]BS17A!$U1987</f>
        <v>778770</v>
      </c>
      <c r="E290" s="350">
        <f>+[9]BS17A!$V1987</f>
        <v>778770</v>
      </c>
      <c r="F290" s="262"/>
    </row>
    <row r="291" spans="1:7" ht="15" customHeight="1" x14ac:dyDescent="0.2">
      <c r="A291" s="442"/>
      <c r="B291" s="441" t="s">
        <v>431</v>
      </c>
      <c r="C291" s="316">
        <f>SUM(C286:C290)</f>
        <v>6</v>
      </c>
      <c r="D291" s="288"/>
      <c r="E291" s="317">
        <f>SUM(E286:E290)</f>
        <v>820160</v>
      </c>
      <c r="F291" s="262"/>
    </row>
    <row r="292" spans="1:7" ht="18" customHeight="1" x14ac:dyDescent="0.2">
      <c r="A292" s="362"/>
      <c r="B292" s="364"/>
      <c r="C292" s="362"/>
      <c r="D292" s="362"/>
      <c r="E292" s="362"/>
      <c r="F292" s="262"/>
    </row>
    <row r="293" spans="1:7" ht="18" customHeight="1" x14ac:dyDescent="0.2">
      <c r="A293" s="362"/>
      <c r="B293" s="364"/>
      <c r="C293" s="362"/>
      <c r="D293" s="362"/>
      <c r="E293" s="362"/>
      <c r="F293" s="375"/>
      <c r="G293" s="263"/>
    </row>
    <row r="294" spans="1:7" ht="12.75" x14ac:dyDescent="0.2">
      <c r="A294" s="586" t="s">
        <v>432</v>
      </c>
      <c r="B294" s="587"/>
      <c r="C294" s="587"/>
      <c r="D294" s="587"/>
      <c r="E294" s="588"/>
      <c r="F294" s="376"/>
      <c r="G294" s="263"/>
    </row>
    <row r="295" spans="1:7" ht="42.75" customHeight="1" x14ac:dyDescent="0.2">
      <c r="A295" s="264" t="s">
        <v>8</v>
      </c>
      <c r="B295" s="407" t="s">
        <v>432</v>
      </c>
      <c r="C295" s="408" t="s">
        <v>433</v>
      </c>
      <c r="D295" s="310" t="s">
        <v>11</v>
      </c>
      <c r="E295" s="519" t="s">
        <v>12</v>
      </c>
      <c r="F295" s="376"/>
      <c r="G295" s="263"/>
    </row>
    <row r="296" spans="1:7" ht="15" customHeight="1" x14ac:dyDescent="0.2">
      <c r="A296" s="434" t="s">
        <v>434</v>
      </c>
      <c r="B296" s="429" t="s">
        <v>435</v>
      </c>
      <c r="C296" s="383">
        <f>+[9]BS17A!$D1863</f>
        <v>209</v>
      </c>
      <c r="D296" s="275">
        <f>+[9]BS17A!$U1863</f>
        <v>18430</v>
      </c>
      <c r="E296" s="344">
        <f>+[9]BS17A!$V1863</f>
        <v>3851870</v>
      </c>
      <c r="F296" s="262"/>
    </row>
    <row r="297" spans="1:7" ht="15" customHeight="1" x14ac:dyDescent="0.2">
      <c r="A297" s="435" t="s">
        <v>436</v>
      </c>
      <c r="B297" s="430" t="s">
        <v>437</v>
      </c>
      <c r="C297" s="380">
        <f>+[9]BS17A!$D1864</f>
        <v>171</v>
      </c>
      <c r="D297" s="270">
        <f>+[9]BS17A!$U1864</f>
        <v>57970</v>
      </c>
      <c r="E297" s="345">
        <f>+[9]BS17A!$V1864</f>
        <v>9912870</v>
      </c>
      <c r="F297" s="262"/>
    </row>
    <row r="298" spans="1:7" ht="15" customHeight="1" x14ac:dyDescent="0.2">
      <c r="A298" s="435" t="s">
        <v>438</v>
      </c>
      <c r="B298" s="430" t="s">
        <v>439</v>
      </c>
      <c r="C298" s="380">
        <f>+[9]BS17A!$D1865</f>
        <v>0</v>
      </c>
      <c r="D298" s="270">
        <f>+[9]BS17A!$U1865</f>
        <v>71860</v>
      </c>
      <c r="E298" s="345">
        <f>+[9]BS17A!$V1865</f>
        <v>0</v>
      </c>
      <c r="F298" s="262"/>
    </row>
    <row r="299" spans="1:7" ht="15" customHeight="1" x14ac:dyDescent="0.2">
      <c r="A299" s="435" t="s">
        <v>440</v>
      </c>
      <c r="B299" s="430" t="s">
        <v>441</v>
      </c>
      <c r="C299" s="380">
        <f>+[9]BS17A!$D1866</f>
        <v>161</v>
      </c>
      <c r="D299" s="270">
        <f>+[9]BS17A!$U1866</f>
        <v>2520</v>
      </c>
      <c r="E299" s="345">
        <f>+[9]BS17A!$V1866</f>
        <v>405720</v>
      </c>
      <c r="F299" s="262"/>
    </row>
    <row r="300" spans="1:7" ht="15" customHeight="1" x14ac:dyDescent="0.2">
      <c r="A300" s="435" t="s">
        <v>442</v>
      </c>
      <c r="B300" s="430" t="s">
        <v>443</v>
      </c>
      <c r="C300" s="380">
        <f>+[9]BS17A!$D1867</f>
        <v>0</v>
      </c>
      <c r="D300" s="270">
        <f>+[9]BS17A!$U1867</f>
        <v>70</v>
      </c>
      <c r="E300" s="345">
        <f>+[9]BS17A!$V1867</f>
        <v>0</v>
      </c>
      <c r="F300" s="262"/>
    </row>
    <row r="301" spans="1:7" ht="15" customHeight="1" x14ac:dyDescent="0.2">
      <c r="A301" s="435" t="s">
        <v>444</v>
      </c>
      <c r="B301" s="431" t="s">
        <v>445</v>
      </c>
      <c r="C301" s="380">
        <f>+[9]BS17A!$D1868</f>
        <v>0</v>
      </c>
      <c r="D301" s="270">
        <f>+[9]BS17A!$U1868</f>
        <v>152560</v>
      </c>
      <c r="E301" s="345">
        <f>+[9]BS17A!$V1868</f>
        <v>0</v>
      </c>
      <c r="F301" s="262"/>
    </row>
    <row r="302" spans="1:7" ht="15" customHeight="1" x14ac:dyDescent="0.2">
      <c r="A302" s="436" t="s">
        <v>446</v>
      </c>
      <c r="B302" s="432" t="s">
        <v>447</v>
      </c>
      <c r="C302" s="395">
        <f>+[9]BS17A!$D1869</f>
        <v>0</v>
      </c>
      <c r="D302" s="277">
        <f>+[9]BS17A!$U1869</f>
        <v>10370</v>
      </c>
      <c r="E302" s="350">
        <f>+[9]BS17A!$V1869</f>
        <v>0</v>
      </c>
      <c r="F302" s="262"/>
    </row>
    <row r="303" spans="1:7" ht="15" customHeight="1" x14ac:dyDescent="0.2">
      <c r="A303" s="437"/>
      <c r="B303" s="603" t="s">
        <v>448</v>
      </c>
      <c r="C303" s="604"/>
      <c r="D303" s="366"/>
      <c r="E303" s="377">
        <f>SUM(E296:E302)</f>
        <v>14170460</v>
      </c>
      <c r="F303" s="262"/>
    </row>
    <row r="304" spans="1:7" ht="12.75" x14ac:dyDescent="0.2">
      <c r="A304" s="262"/>
      <c r="B304" s="262"/>
      <c r="C304" s="262"/>
      <c r="D304" s="262"/>
      <c r="E304" s="262"/>
      <c r="F304" s="359"/>
      <c r="G304" s="361"/>
    </row>
    <row r="305" spans="1:7" ht="12.75" x14ac:dyDescent="0.2">
      <c r="A305" s="262"/>
      <c r="B305" s="262"/>
      <c r="C305" s="262"/>
      <c r="D305" s="262"/>
      <c r="E305" s="262"/>
      <c r="F305" s="359"/>
      <c r="G305" s="361"/>
    </row>
    <row r="306" spans="1:7" ht="12.75" x14ac:dyDescent="0.2">
      <c r="A306" s="597" t="s">
        <v>449</v>
      </c>
      <c r="B306" s="598"/>
      <c r="C306" s="598"/>
      <c r="D306" s="598"/>
      <c r="E306" s="599"/>
      <c r="F306" s="359"/>
      <c r="G306" s="361"/>
    </row>
    <row r="307" spans="1:7" ht="12.75" x14ac:dyDescent="0.2">
      <c r="A307" s="307"/>
      <c r="B307" s="600" t="s">
        <v>450</v>
      </c>
      <c r="C307" s="601"/>
      <c r="D307" s="602"/>
      <c r="E307" s="378">
        <f>+E232+E237+E281+E291+E303</f>
        <v>29649560</v>
      </c>
      <c r="F307" s="262"/>
    </row>
    <row r="308" spans="1:7" ht="12.75" x14ac:dyDescent="0.2">
      <c r="A308" s="262"/>
      <c r="B308" s="262"/>
      <c r="C308" s="262"/>
      <c r="D308" s="262"/>
      <c r="E308" s="262"/>
      <c r="F308" s="359"/>
      <c r="G308" s="361"/>
    </row>
    <row r="309" spans="1:7" ht="12.75" x14ac:dyDescent="0.2">
      <c r="A309" s="262"/>
      <c r="B309" s="262"/>
      <c r="C309" s="262"/>
      <c r="D309" s="262"/>
      <c r="E309" s="262"/>
      <c r="F309" s="359"/>
      <c r="G309" s="361"/>
    </row>
    <row r="310" spans="1:7" ht="12.75" x14ac:dyDescent="0.2">
      <c r="A310" s="597" t="s">
        <v>451</v>
      </c>
      <c r="B310" s="598"/>
      <c r="C310" s="598"/>
      <c r="D310" s="598"/>
      <c r="E310" s="599"/>
      <c r="F310" s="359"/>
      <c r="G310" s="361"/>
    </row>
    <row r="311" spans="1:7" ht="25.5" x14ac:dyDescent="0.2">
      <c r="A311" s="586" t="s">
        <v>452</v>
      </c>
      <c r="B311" s="587"/>
      <c r="C311" s="587"/>
      <c r="D311" s="588"/>
      <c r="E311" s="264" t="s">
        <v>12</v>
      </c>
      <c r="F311" s="359"/>
      <c r="G311" s="361"/>
    </row>
    <row r="312" spans="1:7" ht="15" customHeight="1" x14ac:dyDescent="0.2">
      <c r="A312" s="307"/>
      <c r="B312" s="600" t="s">
        <v>453</v>
      </c>
      <c r="C312" s="601"/>
      <c r="D312" s="602"/>
      <c r="E312" s="378">
        <f>+E50+E76+E84+F109+E116+C121+E148+E155+E168+E204+E218+C225+E307</f>
        <v>733684810</v>
      </c>
      <c r="F312" s="359"/>
      <c r="G312" s="361"/>
    </row>
    <row r="313" spans="1:7" ht="18" customHeight="1" x14ac:dyDescent="0.2">
      <c r="A313" s="262"/>
      <c r="B313" s="262"/>
      <c r="C313" s="262"/>
      <c r="D313" s="262"/>
      <c r="E313" s="262"/>
      <c r="F313" s="259"/>
    </row>
    <row r="314" spans="1:7" ht="18" customHeight="1" x14ac:dyDescent="0.2">
      <c r="A314" s="262"/>
      <c r="B314" s="262"/>
      <c r="C314" s="262"/>
      <c r="D314" s="262"/>
      <c r="E314" s="262"/>
      <c r="F314" s="259"/>
    </row>
    <row r="315" spans="1:7" ht="18" customHeight="1" x14ac:dyDescent="0.2">
      <c r="A315" s="597" t="s">
        <v>454</v>
      </c>
      <c r="B315" s="598"/>
      <c r="C315" s="599"/>
      <c r="D315" s="262"/>
      <c r="E315" s="262"/>
      <c r="F315" s="259"/>
    </row>
    <row r="316" spans="1:7" ht="18" customHeight="1" x14ac:dyDescent="0.2">
      <c r="A316" s="586" t="s">
        <v>455</v>
      </c>
      <c r="B316" s="587"/>
      <c r="C316" s="588"/>
      <c r="D316" s="262"/>
      <c r="E316" s="262"/>
      <c r="F316" s="259"/>
    </row>
    <row r="317" spans="1:7" ht="30.75" customHeight="1" x14ac:dyDescent="0.2">
      <c r="A317" s="597" t="s">
        <v>456</v>
      </c>
      <c r="B317" s="598"/>
      <c r="C317" s="264" t="s">
        <v>457</v>
      </c>
      <c r="D317" s="262"/>
      <c r="E317" s="262"/>
      <c r="F317" s="262"/>
    </row>
    <row r="318" spans="1:7" ht="15" customHeight="1" x14ac:dyDescent="0.2">
      <c r="A318" s="379" t="s">
        <v>458</v>
      </c>
      <c r="B318" s="397"/>
      <c r="C318" s="403"/>
      <c r="D318" s="262"/>
      <c r="E318" s="262"/>
      <c r="F318" s="262"/>
    </row>
    <row r="319" spans="1:7" ht="15" customHeight="1" x14ac:dyDescent="0.2">
      <c r="A319" s="380" t="s">
        <v>459</v>
      </c>
      <c r="B319" s="398"/>
      <c r="C319" s="404"/>
      <c r="D319" s="262"/>
      <c r="E319" s="262"/>
      <c r="F319" s="262"/>
    </row>
    <row r="320" spans="1:7" ht="15" customHeight="1" x14ac:dyDescent="0.2">
      <c r="A320" s="380" t="s">
        <v>460</v>
      </c>
      <c r="B320" s="398"/>
      <c r="C320" s="404"/>
      <c r="D320" s="262"/>
      <c r="E320" s="262"/>
      <c r="F320" s="262"/>
    </row>
    <row r="321" spans="1:6" ht="15" customHeight="1" x14ac:dyDescent="0.2">
      <c r="A321" s="381" t="s">
        <v>461</v>
      </c>
      <c r="B321" s="398"/>
      <c r="C321" s="404"/>
      <c r="D321" s="262"/>
      <c r="E321" s="262"/>
      <c r="F321" s="262"/>
    </row>
    <row r="322" spans="1:6" ht="15" customHeight="1" x14ac:dyDescent="0.2">
      <c r="A322" s="382" t="s">
        <v>462</v>
      </c>
      <c r="B322" s="399"/>
      <c r="C322" s="405">
        <f>SUM(C318:C321)</f>
        <v>0</v>
      </c>
      <c r="D322" s="262"/>
      <c r="E322" s="262"/>
      <c r="F322" s="262"/>
    </row>
    <row r="323" spans="1:6" ht="15" customHeight="1" x14ac:dyDescent="0.2">
      <c r="A323" s="383" t="s">
        <v>463</v>
      </c>
      <c r="B323" s="400"/>
      <c r="C323" s="403">
        <v>7298421</v>
      </c>
      <c r="D323" s="262"/>
      <c r="E323" s="262"/>
      <c r="F323" s="262"/>
    </row>
    <row r="324" spans="1:6" ht="15" customHeight="1" x14ac:dyDescent="0.2">
      <c r="A324" s="384" t="s">
        <v>464</v>
      </c>
      <c r="B324" s="401"/>
      <c r="C324" s="404"/>
      <c r="D324" s="262"/>
      <c r="E324" s="262"/>
      <c r="F324" s="262"/>
    </row>
    <row r="325" spans="1:6" ht="15" customHeight="1" x14ac:dyDescent="0.2">
      <c r="A325" s="380" t="s">
        <v>465</v>
      </c>
      <c r="B325" s="401"/>
      <c r="C325" s="404"/>
      <c r="D325" s="262"/>
      <c r="E325" s="262"/>
      <c r="F325" s="262"/>
    </row>
    <row r="326" spans="1:6" ht="15" customHeight="1" x14ac:dyDescent="0.2">
      <c r="A326" s="380" t="s">
        <v>466</v>
      </c>
      <c r="B326" s="401"/>
      <c r="C326" s="404"/>
      <c r="D326" s="262"/>
      <c r="E326" s="262"/>
      <c r="F326" s="262"/>
    </row>
    <row r="327" spans="1:6" ht="15" customHeight="1" x14ac:dyDescent="0.2">
      <c r="A327" s="384" t="s">
        <v>467</v>
      </c>
      <c r="B327" s="401"/>
      <c r="C327" s="404"/>
      <c r="D327" s="262"/>
      <c r="E327" s="262"/>
      <c r="F327" s="262"/>
    </row>
    <row r="328" spans="1:6" ht="15" customHeight="1" x14ac:dyDescent="0.2">
      <c r="A328" s="384" t="s">
        <v>468</v>
      </c>
      <c r="B328" s="401"/>
      <c r="C328" s="404"/>
      <c r="D328" s="262"/>
      <c r="E328" s="262"/>
      <c r="F328" s="262"/>
    </row>
    <row r="329" spans="1:6" ht="15" customHeight="1" x14ac:dyDescent="0.2">
      <c r="A329" s="385" t="s">
        <v>469</v>
      </c>
      <c r="B329" s="402"/>
      <c r="C329" s="406">
        <v>96242682</v>
      </c>
      <c r="D329" s="262"/>
      <c r="E329" s="262"/>
      <c r="F329" s="262"/>
    </row>
    <row r="330" spans="1:6" ht="15" customHeight="1" x14ac:dyDescent="0.2">
      <c r="A330" s="279"/>
      <c r="B330" s="396" t="s">
        <v>470</v>
      </c>
      <c r="C330" s="354">
        <f>SUM(C322:C329)</f>
        <v>103541103</v>
      </c>
      <c r="D330" s="262"/>
      <c r="E330" s="262"/>
      <c r="F330" s="262"/>
    </row>
    <row r="331" spans="1:6" ht="12.75" x14ac:dyDescent="0.2">
      <c r="A331" s="262"/>
      <c r="B331" s="262"/>
      <c r="C331" s="262"/>
      <c r="D331" s="262"/>
      <c r="E331" s="262"/>
      <c r="F331" s="259"/>
    </row>
    <row r="332" spans="1:6" ht="12.75" x14ac:dyDescent="0.2">
      <c r="A332" s="262"/>
      <c r="B332" s="262"/>
      <c r="C332" s="262"/>
      <c r="D332" s="262"/>
      <c r="E332" s="262"/>
      <c r="F332" s="259"/>
    </row>
    <row r="333" spans="1:6" ht="12.75" x14ac:dyDescent="0.2">
      <c r="A333" s="262"/>
      <c r="B333" s="262"/>
      <c r="C333" s="262"/>
      <c r="D333" s="262"/>
      <c r="E333" s="262"/>
      <c r="F333" s="259"/>
    </row>
    <row r="334" spans="1:6" ht="12.75" x14ac:dyDescent="0.2">
      <c r="A334" s="362"/>
      <c r="B334" s="362"/>
      <c r="C334" s="362"/>
      <c r="D334" s="362"/>
      <c r="E334" s="362"/>
      <c r="F334" s="375"/>
    </row>
    <row r="335" spans="1:6" ht="12.75" x14ac:dyDescent="0.2">
      <c r="A335" s="362"/>
      <c r="B335" s="362"/>
      <c r="C335" s="362"/>
      <c r="D335" s="362"/>
      <c r="E335" s="610" t="str">
        <f>[9]NOMBRE!B12</f>
        <v>SRA. MARIA INES NUÑEZ GONZALEZ</v>
      </c>
      <c r="F335" s="610"/>
    </row>
    <row r="336" spans="1:6" ht="12.75" x14ac:dyDescent="0.2">
      <c r="A336" s="362"/>
      <c r="B336" s="362"/>
      <c r="C336" s="362"/>
      <c r="D336" s="364"/>
      <c r="E336" s="609" t="str">
        <f>[9]NOMBRE!A12</f>
        <v>Jefe de Estadisticas</v>
      </c>
      <c r="F336" s="609"/>
    </row>
    <row r="337" spans="1:6" ht="12.75" x14ac:dyDescent="0.2">
      <c r="A337" s="362"/>
      <c r="B337" s="362"/>
      <c r="C337" s="362"/>
      <c r="D337" s="362"/>
      <c r="E337" s="520"/>
      <c r="F337" s="387"/>
    </row>
    <row r="338" spans="1:6" ht="12.75" x14ac:dyDescent="0.2">
      <c r="A338" s="362"/>
      <c r="B338" s="362"/>
      <c r="C338" s="362"/>
      <c r="D338" s="362"/>
      <c r="E338" s="387"/>
      <c r="F338" s="387"/>
    </row>
    <row r="339" spans="1:6" ht="12.75" x14ac:dyDescent="0.2">
      <c r="A339" s="362"/>
      <c r="B339" s="362"/>
      <c r="C339" s="362"/>
      <c r="D339" s="362"/>
      <c r="E339" s="387"/>
      <c r="F339" s="387"/>
    </row>
    <row r="340" spans="1:6" ht="12.75" x14ac:dyDescent="0.2">
      <c r="A340" s="362"/>
      <c r="B340" s="362"/>
      <c r="C340" s="362"/>
      <c r="D340" s="362"/>
      <c r="E340" s="387"/>
      <c r="F340" s="387"/>
    </row>
    <row r="341" spans="1:6" ht="12.75" x14ac:dyDescent="0.2">
      <c r="A341" s="362"/>
      <c r="B341" s="362"/>
      <c r="C341" s="362"/>
      <c r="D341" s="362"/>
      <c r="E341" s="387"/>
      <c r="F341" s="387"/>
    </row>
    <row r="342" spans="1:6" ht="12.75" x14ac:dyDescent="0.2">
      <c r="A342" s="362"/>
      <c r="B342" s="362"/>
      <c r="C342" s="362"/>
      <c r="D342" s="362"/>
      <c r="E342" s="387"/>
      <c r="F342" s="387"/>
    </row>
    <row r="343" spans="1:6" ht="12.75" x14ac:dyDescent="0.2">
      <c r="A343" s="362"/>
      <c r="B343" s="362"/>
      <c r="C343" s="362"/>
      <c r="D343" s="362"/>
      <c r="E343" s="387"/>
      <c r="F343" s="387"/>
    </row>
    <row r="344" spans="1:6" ht="12.75" x14ac:dyDescent="0.2">
      <c r="A344" s="362"/>
      <c r="B344" s="362"/>
      <c r="C344" s="362"/>
      <c r="D344" s="362"/>
      <c r="E344" s="610" t="str">
        <f>[9]NOMBRE!B11</f>
        <v>DR. FRANCISCO MARTINEZ CAVALLA</v>
      </c>
      <c r="F344" s="610"/>
    </row>
    <row r="345" spans="1:6" ht="22.5" customHeight="1" x14ac:dyDescent="0.2">
      <c r="A345" s="362"/>
      <c r="B345" s="362"/>
      <c r="C345" s="362"/>
      <c r="D345" s="375"/>
      <c r="E345" s="609" t="str">
        <f>CONCATENATE("Director ",[9]NOMBRE!B1)</f>
        <v xml:space="preserve">Director </v>
      </c>
      <c r="F345" s="609"/>
    </row>
    <row r="346" spans="1:6" ht="12.75" x14ac:dyDescent="0.2">
      <c r="A346" s="362"/>
      <c r="B346" s="362"/>
      <c r="C346" s="362"/>
      <c r="D346" s="388"/>
      <c r="E346" s="362"/>
      <c r="F346" s="375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topLeftCell="A286" zoomScale="75" zoomScaleNormal="75" workbookViewId="0">
      <selection activeCell="B333" sqref="B333"/>
    </sheetView>
  </sheetViews>
  <sheetFormatPr baseColWidth="10" defaultRowHeight="10.5" x14ac:dyDescent="0.15"/>
  <cols>
    <col min="1" max="1" width="20.28515625" style="501" customWidth="1"/>
    <col min="2" max="2" width="83.140625" style="501" customWidth="1"/>
    <col min="3" max="5" width="21.42578125" style="501" customWidth="1"/>
    <col min="6" max="6" width="19.5703125" style="502" customWidth="1"/>
    <col min="7" max="7" width="2.42578125" style="501" customWidth="1"/>
    <col min="8" max="9" width="5.140625" style="501" customWidth="1"/>
    <col min="10" max="256" width="11.42578125" style="501"/>
    <col min="257" max="257" width="20.28515625" style="501" customWidth="1"/>
    <col min="258" max="258" width="83.140625" style="501" customWidth="1"/>
    <col min="259" max="261" width="21.42578125" style="501" customWidth="1"/>
    <col min="262" max="262" width="19.5703125" style="501" customWidth="1"/>
    <col min="263" max="263" width="2.42578125" style="501" customWidth="1"/>
    <col min="264" max="265" width="5.140625" style="501" customWidth="1"/>
    <col min="266" max="512" width="11.42578125" style="501"/>
    <col min="513" max="513" width="20.28515625" style="501" customWidth="1"/>
    <col min="514" max="514" width="83.140625" style="501" customWidth="1"/>
    <col min="515" max="517" width="21.42578125" style="501" customWidth="1"/>
    <col min="518" max="518" width="19.5703125" style="501" customWidth="1"/>
    <col min="519" max="519" width="2.42578125" style="501" customWidth="1"/>
    <col min="520" max="521" width="5.140625" style="501" customWidth="1"/>
    <col min="522" max="768" width="11.42578125" style="501"/>
    <col min="769" max="769" width="20.28515625" style="501" customWidth="1"/>
    <col min="770" max="770" width="83.140625" style="501" customWidth="1"/>
    <col min="771" max="773" width="21.42578125" style="501" customWidth="1"/>
    <col min="774" max="774" width="19.5703125" style="501" customWidth="1"/>
    <col min="775" max="775" width="2.42578125" style="501" customWidth="1"/>
    <col min="776" max="777" width="5.140625" style="501" customWidth="1"/>
    <col min="778" max="1024" width="11.42578125" style="501"/>
    <col min="1025" max="1025" width="20.28515625" style="501" customWidth="1"/>
    <col min="1026" max="1026" width="83.140625" style="501" customWidth="1"/>
    <col min="1027" max="1029" width="21.42578125" style="501" customWidth="1"/>
    <col min="1030" max="1030" width="19.5703125" style="501" customWidth="1"/>
    <col min="1031" max="1031" width="2.42578125" style="501" customWidth="1"/>
    <col min="1032" max="1033" width="5.140625" style="501" customWidth="1"/>
    <col min="1034" max="1280" width="11.42578125" style="501"/>
    <col min="1281" max="1281" width="20.28515625" style="501" customWidth="1"/>
    <col min="1282" max="1282" width="83.140625" style="501" customWidth="1"/>
    <col min="1283" max="1285" width="21.42578125" style="501" customWidth="1"/>
    <col min="1286" max="1286" width="19.5703125" style="501" customWidth="1"/>
    <col min="1287" max="1287" width="2.42578125" style="501" customWidth="1"/>
    <col min="1288" max="1289" width="5.140625" style="501" customWidth="1"/>
    <col min="1290" max="1536" width="11.42578125" style="501"/>
    <col min="1537" max="1537" width="20.28515625" style="501" customWidth="1"/>
    <col min="1538" max="1538" width="83.140625" style="501" customWidth="1"/>
    <col min="1539" max="1541" width="21.42578125" style="501" customWidth="1"/>
    <col min="1542" max="1542" width="19.5703125" style="501" customWidth="1"/>
    <col min="1543" max="1543" width="2.42578125" style="501" customWidth="1"/>
    <col min="1544" max="1545" width="5.140625" style="501" customWidth="1"/>
    <col min="1546" max="1792" width="11.42578125" style="501"/>
    <col min="1793" max="1793" width="20.28515625" style="501" customWidth="1"/>
    <col min="1794" max="1794" width="83.140625" style="501" customWidth="1"/>
    <col min="1795" max="1797" width="21.42578125" style="501" customWidth="1"/>
    <col min="1798" max="1798" width="19.5703125" style="501" customWidth="1"/>
    <col min="1799" max="1799" width="2.42578125" style="501" customWidth="1"/>
    <col min="1800" max="1801" width="5.140625" style="501" customWidth="1"/>
    <col min="1802" max="2048" width="11.42578125" style="501"/>
    <col min="2049" max="2049" width="20.28515625" style="501" customWidth="1"/>
    <col min="2050" max="2050" width="83.140625" style="501" customWidth="1"/>
    <col min="2051" max="2053" width="21.42578125" style="501" customWidth="1"/>
    <col min="2054" max="2054" width="19.5703125" style="501" customWidth="1"/>
    <col min="2055" max="2055" width="2.42578125" style="501" customWidth="1"/>
    <col min="2056" max="2057" width="5.140625" style="501" customWidth="1"/>
    <col min="2058" max="2304" width="11.42578125" style="501"/>
    <col min="2305" max="2305" width="20.28515625" style="501" customWidth="1"/>
    <col min="2306" max="2306" width="83.140625" style="501" customWidth="1"/>
    <col min="2307" max="2309" width="21.42578125" style="501" customWidth="1"/>
    <col min="2310" max="2310" width="19.5703125" style="501" customWidth="1"/>
    <col min="2311" max="2311" width="2.42578125" style="501" customWidth="1"/>
    <col min="2312" max="2313" width="5.140625" style="501" customWidth="1"/>
    <col min="2314" max="2560" width="11.42578125" style="501"/>
    <col min="2561" max="2561" width="20.28515625" style="501" customWidth="1"/>
    <col min="2562" max="2562" width="83.140625" style="501" customWidth="1"/>
    <col min="2563" max="2565" width="21.42578125" style="501" customWidth="1"/>
    <col min="2566" max="2566" width="19.5703125" style="501" customWidth="1"/>
    <col min="2567" max="2567" width="2.42578125" style="501" customWidth="1"/>
    <col min="2568" max="2569" width="5.140625" style="501" customWidth="1"/>
    <col min="2570" max="2816" width="11.42578125" style="501"/>
    <col min="2817" max="2817" width="20.28515625" style="501" customWidth="1"/>
    <col min="2818" max="2818" width="83.140625" style="501" customWidth="1"/>
    <col min="2819" max="2821" width="21.42578125" style="501" customWidth="1"/>
    <col min="2822" max="2822" width="19.5703125" style="501" customWidth="1"/>
    <col min="2823" max="2823" width="2.42578125" style="501" customWidth="1"/>
    <col min="2824" max="2825" width="5.140625" style="501" customWidth="1"/>
    <col min="2826" max="3072" width="11.42578125" style="501"/>
    <col min="3073" max="3073" width="20.28515625" style="501" customWidth="1"/>
    <col min="3074" max="3074" width="83.140625" style="501" customWidth="1"/>
    <col min="3075" max="3077" width="21.42578125" style="501" customWidth="1"/>
    <col min="3078" max="3078" width="19.5703125" style="501" customWidth="1"/>
    <col min="3079" max="3079" width="2.42578125" style="501" customWidth="1"/>
    <col min="3080" max="3081" width="5.140625" style="501" customWidth="1"/>
    <col min="3082" max="3328" width="11.42578125" style="501"/>
    <col min="3329" max="3329" width="20.28515625" style="501" customWidth="1"/>
    <col min="3330" max="3330" width="83.140625" style="501" customWidth="1"/>
    <col min="3331" max="3333" width="21.42578125" style="501" customWidth="1"/>
    <col min="3334" max="3334" width="19.5703125" style="501" customWidth="1"/>
    <col min="3335" max="3335" width="2.42578125" style="501" customWidth="1"/>
    <col min="3336" max="3337" width="5.140625" style="501" customWidth="1"/>
    <col min="3338" max="3584" width="11.42578125" style="501"/>
    <col min="3585" max="3585" width="20.28515625" style="501" customWidth="1"/>
    <col min="3586" max="3586" width="83.140625" style="501" customWidth="1"/>
    <col min="3587" max="3589" width="21.42578125" style="501" customWidth="1"/>
    <col min="3590" max="3590" width="19.5703125" style="501" customWidth="1"/>
    <col min="3591" max="3591" width="2.42578125" style="501" customWidth="1"/>
    <col min="3592" max="3593" width="5.140625" style="501" customWidth="1"/>
    <col min="3594" max="3840" width="11.42578125" style="501"/>
    <col min="3841" max="3841" width="20.28515625" style="501" customWidth="1"/>
    <col min="3842" max="3842" width="83.140625" style="501" customWidth="1"/>
    <col min="3843" max="3845" width="21.42578125" style="501" customWidth="1"/>
    <col min="3846" max="3846" width="19.5703125" style="501" customWidth="1"/>
    <col min="3847" max="3847" width="2.42578125" style="501" customWidth="1"/>
    <col min="3848" max="3849" width="5.140625" style="501" customWidth="1"/>
    <col min="3850" max="4096" width="11.42578125" style="501"/>
    <col min="4097" max="4097" width="20.28515625" style="501" customWidth="1"/>
    <col min="4098" max="4098" width="83.140625" style="501" customWidth="1"/>
    <col min="4099" max="4101" width="21.42578125" style="501" customWidth="1"/>
    <col min="4102" max="4102" width="19.5703125" style="501" customWidth="1"/>
    <col min="4103" max="4103" width="2.42578125" style="501" customWidth="1"/>
    <col min="4104" max="4105" width="5.140625" style="501" customWidth="1"/>
    <col min="4106" max="4352" width="11.42578125" style="501"/>
    <col min="4353" max="4353" width="20.28515625" style="501" customWidth="1"/>
    <col min="4354" max="4354" width="83.140625" style="501" customWidth="1"/>
    <col min="4355" max="4357" width="21.42578125" style="501" customWidth="1"/>
    <col min="4358" max="4358" width="19.5703125" style="501" customWidth="1"/>
    <col min="4359" max="4359" width="2.42578125" style="501" customWidth="1"/>
    <col min="4360" max="4361" width="5.140625" style="501" customWidth="1"/>
    <col min="4362" max="4608" width="11.42578125" style="501"/>
    <col min="4609" max="4609" width="20.28515625" style="501" customWidth="1"/>
    <col min="4610" max="4610" width="83.140625" style="501" customWidth="1"/>
    <col min="4611" max="4613" width="21.42578125" style="501" customWidth="1"/>
    <col min="4614" max="4614" width="19.5703125" style="501" customWidth="1"/>
    <col min="4615" max="4615" width="2.42578125" style="501" customWidth="1"/>
    <col min="4616" max="4617" width="5.140625" style="501" customWidth="1"/>
    <col min="4618" max="4864" width="11.42578125" style="501"/>
    <col min="4865" max="4865" width="20.28515625" style="501" customWidth="1"/>
    <col min="4866" max="4866" width="83.140625" style="501" customWidth="1"/>
    <col min="4867" max="4869" width="21.42578125" style="501" customWidth="1"/>
    <col min="4870" max="4870" width="19.5703125" style="501" customWidth="1"/>
    <col min="4871" max="4871" width="2.42578125" style="501" customWidth="1"/>
    <col min="4872" max="4873" width="5.140625" style="501" customWidth="1"/>
    <col min="4874" max="5120" width="11.42578125" style="501"/>
    <col min="5121" max="5121" width="20.28515625" style="501" customWidth="1"/>
    <col min="5122" max="5122" width="83.140625" style="501" customWidth="1"/>
    <col min="5123" max="5125" width="21.42578125" style="501" customWidth="1"/>
    <col min="5126" max="5126" width="19.5703125" style="501" customWidth="1"/>
    <col min="5127" max="5127" width="2.42578125" style="501" customWidth="1"/>
    <col min="5128" max="5129" width="5.140625" style="501" customWidth="1"/>
    <col min="5130" max="5376" width="11.42578125" style="501"/>
    <col min="5377" max="5377" width="20.28515625" style="501" customWidth="1"/>
    <col min="5378" max="5378" width="83.140625" style="501" customWidth="1"/>
    <col min="5379" max="5381" width="21.42578125" style="501" customWidth="1"/>
    <col min="5382" max="5382" width="19.5703125" style="501" customWidth="1"/>
    <col min="5383" max="5383" width="2.42578125" style="501" customWidth="1"/>
    <col min="5384" max="5385" width="5.140625" style="501" customWidth="1"/>
    <col min="5386" max="5632" width="11.42578125" style="501"/>
    <col min="5633" max="5633" width="20.28515625" style="501" customWidth="1"/>
    <col min="5634" max="5634" width="83.140625" style="501" customWidth="1"/>
    <col min="5635" max="5637" width="21.42578125" style="501" customWidth="1"/>
    <col min="5638" max="5638" width="19.5703125" style="501" customWidth="1"/>
    <col min="5639" max="5639" width="2.42578125" style="501" customWidth="1"/>
    <col min="5640" max="5641" width="5.140625" style="501" customWidth="1"/>
    <col min="5642" max="5888" width="11.42578125" style="501"/>
    <col min="5889" max="5889" width="20.28515625" style="501" customWidth="1"/>
    <col min="5890" max="5890" width="83.140625" style="501" customWidth="1"/>
    <col min="5891" max="5893" width="21.42578125" style="501" customWidth="1"/>
    <col min="5894" max="5894" width="19.5703125" style="501" customWidth="1"/>
    <col min="5895" max="5895" width="2.42578125" style="501" customWidth="1"/>
    <col min="5896" max="5897" width="5.140625" style="501" customWidth="1"/>
    <col min="5898" max="6144" width="11.42578125" style="501"/>
    <col min="6145" max="6145" width="20.28515625" style="501" customWidth="1"/>
    <col min="6146" max="6146" width="83.140625" style="501" customWidth="1"/>
    <col min="6147" max="6149" width="21.42578125" style="501" customWidth="1"/>
    <col min="6150" max="6150" width="19.5703125" style="501" customWidth="1"/>
    <col min="6151" max="6151" width="2.42578125" style="501" customWidth="1"/>
    <col min="6152" max="6153" width="5.140625" style="501" customWidth="1"/>
    <col min="6154" max="6400" width="11.42578125" style="501"/>
    <col min="6401" max="6401" width="20.28515625" style="501" customWidth="1"/>
    <col min="6402" max="6402" width="83.140625" style="501" customWidth="1"/>
    <col min="6403" max="6405" width="21.42578125" style="501" customWidth="1"/>
    <col min="6406" max="6406" width="19.5703125" style="501" customWidth="1"/>
    <col min="6407" max="6407" width="2.42578125" style="501" customWidth="1"/>
    <col min="6408" max="6409" width="5.140625" style="501" customWidth="1"/>
    <col min="6410" max="6656" width="11.42578125" style="501"/>
    <col min="6657" max="6657" width="20.28515625" style="501" customWidth="1"/>
    <col min="6658" max="6658" width="83.140625" style="501" customWidth="1"/>
    <col min="6659" max="6661" width="21.42578125" style="501" customWidth="1"/>
    <col min="6662" max="6662" width="19.5703125" style="501" customWidth="1"/>
    <col min="6663" max="6663" width="2.42578125" style="501" customWidth="1"/>
    <col min="6664" max="6665" width="5.140625" style="501" customWidth="1"/>
    <col min="6666" max="6912" width="11.42578125" style="501"/>
    <col min="6913" max="6913" width="20.28515625" style="501" customWidth="1"/>
    <col min="6914" max="6914" width="83.140625" style="501" customWidth="1"/>
    <col min="6915" max="6917" width="21.42578125" style="501" customWidth="1"/>
    <col min="6918" max="6918" width="19.5703125" style="501" customWidth="1"/>
    <col min="6919" max="6919" width="2.42578125" style="501" customWidth="1"/>
    <col min="6920" max="6921" width="5.140625" style="501" customWidth="1"/>
    <col min="6922" max="7168" width="11.42578125" style="501"/>
    <col min="7169" max="7169" width="20.28515625" style="501" customWidth="1"/>
    <col min="7170" max="7170" width="83.140625" style="501" customWidth="1"/>
    <col min="7171" max="7173" width="21.42578125" style="501" customWidth="1"/>
    <col min="7174" max="7174" width="19.5703125" style="501" customWidth="1"/>
    <col min="7175" max="7175" width="2.42578125" style="501" customWidth="1"/>
    <col min="7176" max="7177" width="5.140625" style="501" customWidth="1"/>
    <col min="7178" max="7424" width="11.42578125" style="501"/>
    <col min="7425" max="7425" width="20.28515625" style="501" customWidth="1"/>
    <col min="7426" max="7426" width="83.140625" style="501" customWidth="1"/>
    <col min="7427" max="7429" width="21.42578125" style="501" customWidth="1"/>
    <col min="7430" max="7430" width="19.5703125" style="501" customWidth="1"/>
    <col min="7431" max="7431" width="2.42578125" style="501" customWidth="1"/>
    <col min="7432" max="7433" width="5.140625" style="501" customWidth="1"/>
    <col min="7434" max="7680" width="11.42578125" style="501"/>
    <col min="7681" max="7681" width="20.28515625" style="501" customWidth="1"/>
    <col min="7682" max="7682" width="83.140625" style="501" customWidth="1"/>
    <col min="7683" max="7685" width="21.42578125" style="501" customWidth="1"/>
    <col min="7686" max="7686" width="19.5703125" style="501" customWidth="1"/>
    <col min="7687" max="7687" width="2.42578125" style="501" customWidth="1"/>
    <col min="7688" max="7689" width="5.140625" style="501" customWidth="1"/>
    <col min="7690" max="7936" width="11.42578125" style="501"/>
    <col min="7937" max="7937" width="20.28515625" style="501" customWidth="1"/>
    <col min="7938" max="7938" width="83.140625" style="501" customWidth="1"/>
    <col min="7939" max="7941" width="21.42578125" style="501" customWidth="1"/>
    <col min="7942" max="7942" width="19.5703125" style="501" customWidth="1"/>
    <col min="7943" max="7943" width="2.42578125" style="501" customWidth="1"/>
    <col min="7944" max="7945" width="5.140625" style="501" customWidth="1"/>
    <col min="7946" max="8192" width="11.42578125" style="501"/>
    <col min="8193" max="8193" width="20.28515625" style="501" customWidth="1"/>
    <col min="8194" max="8194" width="83.140625" style="501" customWidth="1"/>
    <col min="8195" max="8197" width="21.42578125" style="501" customWidth="1"/>
    <col min="8198" max="8198" width="19.5703125" style="501" customWidth="1"/>
    <col min="8199" max="8199" width="2.42578125" style="501" customWidth="1"/>
    <col min="8200" max="8201" width="5.140625" style="501" customWidth="1"/>
    <col min="8202" max="8448" width="11.42578125" style="501"/>
    <col min="8449" max="8449" width="20.28515625" style="501" customWidth="1"/>
    <col min="8450" max="8450" width="83.140625" style="501" customWidth="1"/>
    <col min="8451" max="8453" width="21.42578125" style="501" customWidth="1"/>
    <col min="8454" max="8454" width="19.5703125" style="501" customWidth="1"/>
    <col min="8455" max="8455" width="2.42578125" style="501" customWidth="1"/>
    <col min="8456" max="8457" width="5.140625" style="501" customWidth="1"/>
    <col min="8458" max="8704" width="11.42578125" style="501"/>
    <col min="8705" max="8705" width="20.28515625" style="501" customWidth="1"/>
    <col min="8706" max="8706" width="83.140625" style="501" customWidth="1"/>
    <col min="8707" max="8709" width="21.42578125" style="501" customWidth="1"/>
    <col min="8710" max="8710" width="19.5703125" style="501" customWidth="1"/>
    <col min="8711" max="8711" width="2.42578125" style="501" customWidth="1"/>
    <col min="8712" max="8713" width="5.140625" style="501" customWidth="1"/>
    <col min="8714" max="8960" width="11.42578125" style="501"/>
    <col min="8961" max="8961" width="20.28515625" style="501" customWidth="1"/>
    <col min="8962" max="8962" width="83.140625" style="501" customWidth="1"/>
    <col min="8963" max="8965" width="21.42578125" style="501" customWidth="1"/>
    <col min="8966" max="8966" width="19.5703125" style="501" customWidth="1"/>
    <col min="8967" max="8967" width="2.42578125" style="501" customWidth="1"/>
    <col min="8968" max="8969" width="5.140625" style="501" customWidth="1"/>
    <col min="8970" max="9216" width="11.42578125" style="501"/>
    <col min="9217" max="9217" width="20.28515625" style="501" customWidth="1"/>
    <col min="9218" max="9218" width="83.140625" style="501" customWidth="1"/>
    <col min="9219" max="9221" width="21.42578125" style="501" customWidth="1"/>
    <col min="9222" max="9222" width="19.5703125" style="501" customWidth="1"/>
    <col min="9223" max="9223" width="2.42578125" style="501" customWidth="1"/>
    <col min="9224" max="9225" width="5.140625" style="501" customWidth="1"/>
    <col min="9226" max="9472" width="11.42578125" style="501"/>
    <col min="9473" max="9473" width="20.28515625" style="501" customWidth="1"/>
    <col min="9474" max="9474" width="83.140625" style="501" customWidth="1"/>
    <col min="9475" max="9477" width="21.42578125" style="501" customWidth="1"/>
    <col min="9478" max="9478" width="19.5703125" style="501" customWidth="1"/>
    <col min="9479" max="9479" width="2.42578125" style="501" customWidth="1"/>
    <col min="9480" max="9481" width="5.140625" style="501" customWidth="1"/>
    <col min="9482" max="9728" width="11.42578125" style="501"/>
    <col min="9729" max="9729" width="20.28515625" style="501" customWidth="1"/>
    <col min="9730" max="9730" width="83.140625" style="501" customWidth="1"/>
    <col min="9731" max="9733" width="21.42578125" style="501" customWidth="1"/>
    <col min="9734" max="9734" width="19.5703125" style="501" customWidth="1"/>
    <col min="9735" max="9735" width="2.42578125" style="501" customWidth="1"/>
    <col min="9736" max="9737" width="5.140625" style="501" customWidth="1"/>
    <col min="9738" max="9984" width="11.42578125" style="501"/>
    <col min="9985" max="9985" width="20.28515625" style="501" customWidth="1"/>
    <col min="9986" max="9986" width="83.140625" style="501" customWidth="1"/>
    <col min="9987" max="9989" width="21.42578125" style="501" customWidth="1"/>
    <col min="9990" max="9990" width="19.5703125" style="501" customWidth="1"/>
    <col min="9991" max="9991" width="2.42578125" style="501" customWidth="1"/>
    <col min="9992" max="9993" width="5.140625" style="501" customWidth="1"/>
    <col min="9994" max="10240" width="11.42578125" style="501"/>
    <col min="10241" max="10241" width="20.28515625" style="501" customWidth="1"/>
    <col min="10242" max="10242" width="83.140625" style="501" customWidth="1"/>
    <col min="10243" max="10245" width="21.42578125" style="501" customWidth="1"/>
    <col min="10246" max="10246" width="19.5703125" style="501" customWidth="1"/>
    <col min="10247" max="10247" width="2.42578125" style="501" customWidth="1"/>
    <col min="10248" max="10249" width="5.140625" style="501" customWidth="1"/>
    <col min="10250" max="10496" width="11.42578125" style="501"/>
    <col min="10497" max="10497" width="20.28515625" style="501" customWidth="1"/>
    <col min="10498" max="10498" width="83.140625" style="501" customWidth="1"/>
    <col min="10499" max="10501" width="21.42578125" style="501" customWidth="1"/>
    <col min="10502" max="10502" width="19.5703125" style="501" customWidth="1"/>
    <col min="10503" max="10503" width="2.42578125" style="501" customWidth="1"/>
    <col min="10504" max="10505" width="5.140625" style="501" customWidth="1"/>
    <col min="10506" max="10752" width="11.42578125" style="501"/>
    <col min="10753" max="10753" width="20.28515625" style="501" customWidth="1"/>
    <col min="10754" max="10754" width="83.140625" style="501" customWidth="1"/>
    <col min="10755" max="10757" width="21.42578125" style="501" customWidth="1"/>
    <col min="10758" max="10758" width="19.5703125" style="501" customWidth="1"/>
    <col min="10759" max="10759" width="2.42578125" style="501" customWidth="1"/>
    <col min="10760" max="10761" width="5.140625" style="501" customWidth="1"/>
    <col min="10762" max="11008" width="11.42578125" style="501"/>
    <col min="11009" max="11009" width="20.28515625" style="501" customWidth="1"/>
    <col min="11010" max="11010" width="83.140625" style="501" customWidth="1"/>
    <col min="11011" max="11013" width="21.42578125" style="501" customWidth="1"/>
    <col min="11014" max="11014" width="19.5703125" style="501" customWidth="1"/>
    <col min="11015" max="11015" width="2.42578125" style="501" customWidth="1"/>
    <col min="11016" max="11017" width="5.140625" style="501" customWidth="1"/>
    <col min="11018" max="11264" width="11.42578125" style="501"/>
    <col min="11265" max="11265" width="20.28515625" style="501" customWidth="1"/>
    <col min="11266" max="11266" width="83.140625" style="501" customWidth="1"/>
    <col min="11267" max="11269" width="21.42578125" style="501" customWidth="1"/>
    <col min="11270" max="11270" width="19.5703125" style="501" customWidth="1"/>
    <col min="11271" max="11271" width="2.42578125" style="501" customWidth="1"/>
    <col min="11272" max="11273" width="5.140625" style="501" customWidth="1"/>
    <col min="11274" max="11520" width="11.42578125" style="501"/>
    <col min="11521" max="11521" width="20.28515625" style="501" customWidth="1"/>
    <col min="11522" max="11522" width="83.140625" style="501" customWidth="1"/>
    <col min="11523" max="11525" width="21.42578125" style="501" customWidth="1"/>
    <col min="11526" max="11526" width="19.5703125" style="501" customWidth="1"/>
    <col min="11527" max="11527" width="2.42578125" style="501" customWidth="1"/>
    <col min="11528" max="11529" width="5.140625" style="501" customWidth="1"/>
    <col min="11530" max="11776" width="11.42578125" style="501"/>
    <col min="11777" max="11777" width="20.28515625" style="501" customWidth="1"/>
    <col min="11778" max="11778" width="83.140625" style="501" customWidth="1"/>
    <col min="11779" max="11781" width="21.42578125" style="501" customWidth="1"/>
    <col min="11782" max="11782" width="19.5703125" style="501" customWidth="1"/>
    <col min="11783" max="11783" width="2.42578125" style="501" customWidth="1"/>
    <col min="11784" max="11785" width="5.140625" style="501" customWidth="1"/>
    <col min="11786" max="12032" width="11.42578125" style="501"/>
    <col min="12033" max="12033" width="20.28515625" style="501" customWidth="1"/>
    <col min="12034" max="12034" width="83.140625" style="501" customWidth="1"/>
    <col min="12035" max="12037" width="21.42578125" style="501" customWidth="1"/>
    <col min="12038" max="12038" width="19.5703125" style="501" customWidth="1"/>
    <col min="12039" max="12039" width="2.42578125" style="501" customWidth="1"/>
    <col min="12040" max="12041" width="5.140625" style="501" customWidth="1"/>
    <col min="12042" max="12288" width="11.42578125" style="501"/>
    <col min="12289" max="12289" width="20.28515625" style="501" customWidth="1"/>
    <col min="12290" max="12290" width="83.140625" style="501" customWidth="1"/>
    <col min="12291" max="12293" width="21.42578125" style="501" customWidth="1"/>
    <col min="12294" max="12294" width="19.5703125" style="501" customWidth="1"/>
    <col min="12295" max="12295" width="2.42578125" style="501" customWidth="1"/>
    <col min="12296" max="12297" width="5.140625" style="501" customWidth="1"/>
    <col min="12298" max="12544" width="11.42578125" style="501"/>
    <col min="12545" max="12545" width="20.28515625" style="501" customWidth="1"/>
    <col min="12546" max="12546" width="83.140625" style="501" customWidth="1"/>
    <col min="12547" max="12549" width="21.42578125" style="501" customWidth="1"/>
    <col min="12550" max="12550" width="19.5703125" style="501" customWidth="1"/>
    <col min="12551" max="12551" width="2.42578125" style="501" customWidth="1"/>
    <col min="12552" max="12553" width="5.140625" style="501" customWidth="1"/>
    <col min="12554" max="12800" width="11.42578125" style="501"/>
    <col min="12801" max="12801" width="20.28515625" style="501" customWidth="1"/>
    <col min="12802" max="12802" width="83.140625" style="501" customWidth="1"/>
    <col min="12803" max="12805" width="21.42578125" style="501" customWidth="1"/>
    <col min="12806" max="12806" width="19.5703125" style="501" customWidth="1"/>
    <col min="12807" max="12807" width="2.42578125" style="501" customWidth="1"/>
    <col min="12808" max="12809" width="5.140625" style="501" customWidth="1"/>
    <col min="12810" max="13056" width="11.42578125" style="501"/>
    <col min="13057" max="13057" width="20.28515625" style="501" customWidth="1"/>
    <col min="13058" max="13058" width="83.140625" style="501" customWidth="1"/>
    <col min="13059" max="13061" width="21.42578125" style="501" customWidth="1"/>
    <col min="13062" max="13062" width="19.5703125" style="501" customWidth="1"/>
    <col min="13063" max="13063" width="2.42578125" style="501" customWidth="1"/>
    <col min="13064" max="13065" width="5.140625" style="501" customWidth="1"/>
    <col min="13066" max="13312" width="11.42578125" style="501"/>
    <col min="13313" max="13313" width="20.28515625" style="501" customWidth="1"/>
    <col min="13314" max="13314" width="83.140625" style="501" customWidth="1"/>
    <col min="13315" max="13317" width="21.42578125" style="501" customWidth="1"/>
    <col min="13318" max="13318" width="19.5703125" style="501" customWidth="1"/>
    <col min="13319" max="13319" width="2.42578125" style="501" customWidth="1"/>
    <col min="13320" max="13321" width="5.140625" style="501" customWidth="1"/>
    <col min="13322" max="13568" width="11.42578125" style="501"/>
    <col min="13569" max="13569" width="20.28515625" style="501" customWidth="1"/>
    <col min="13570" max="13570" width="83.140625" style="501" customWidth="1"/>
    <col min="13571" max="13573" width="21.42578125" style="501" customWidth="1"/>
    <col min="13574" max="13574" width="19.5703125" style="501" customWidth="1"/>
    <col min="13575" max="13575" width="2.42578125" style="501" customWidth="1"/>
    <col min="13576" max="13577" width="5.140625" style="501" customWidth="1"/>
    <col min="13578" max="13824" width="11.42578125" style="501"/>
    <col min="13825" max="13825" width="20.28515625" style="501" customWidth="1"/>
    <col min="13826" max="13826" width="83.140625" style="501" customWidth="1"/>
    <col min="13827" max="13829" width="21.42578125" style="501" customWidth="1"/>
    <col min="13830" max="13830" width="19.5703125" style="501" customWidth="1"/>
    <col min="13831" max="13831" width="2.42578125" style="501" customWidth="1"/>
    <col min="13832" max="13833" width="5.140625" style="501" customWidth="1"/>
    <col min="13834" max="14080" width="11.42578125" style="501"/>
    <col min="14081" max="14081" width="20.28515625" style="501" customWidth="1"/>
    <col min="14082" max="14082" width="83.140625" style="501" customWidth="1"/>
    <col min="14083" max="14085" width="21.42578125" style="501" customWidth="1"/>
    <col min="14086" max="14086" width="19.5703125" style="501" customWidth="1"/>
    <col min="14087" max="14087" width="2.42578125" style="501" customWidth="1"/>
    <col min="14088" max="14089" width="5.140625" style="501" customWidth="1"/>
    <col min="14090" max="14336" width="11.42578125" style="501"/>
    <col min="14337" max="14337" width="20.28515625" style="501" customWidth="1"/>
    <col min="14338" max="14338" width="83.140625" style="501" customWidth="1"/>
    <col min="14339" max="14341" width="21.42578125" style="501" customWidth="1"/>
    <col min="14342" max="14342" width="19.5703125" style="501" customWidth="1"/>
    <col min="14343" max="14343" width="2.42578125" style="501" customWidth="1"/>
    <col min="14344" max="14345" width="5.140625" style="501" customWidth="1"/>
    <col min="14346" max="14592" width="11.42578125" style="501"/>
    <col min="14593" max="14593" width="20.28515625" style="501" customWidth="1"/>
    <col min="14594" max="14594" width="83.140625" style="501" customWidth="1"/>
    <col min="14595" max="14597" width="21.42578125" style="501" customWidth="1"/>
    <col min="14598" max="14598" width="19.5703125" style="501" customWidth="1"/>
    <col min="14599" max="14599" width="2.42578125" style="501" customWidth="1"/>
    <col min="14600" max="14601" width="5.140625" style="501" customWidth="1"/>
    <col min="14602" max="14848" width="11.42578125" style="501"/>
    <col min="14849" max="14849" width="20.28515625" style="501" customWidth="1"/>
    <col min="14850" max="14850" width="83.140625" style="501" customWidth="1"/>
    <col min="14851" max="14853" width="21.42578125" style="501" customWidth="1"/>
    <col min="14854" max="14854" width="19.5703125" style="501" customWidth="1"/>
    <col min="14855" max="14855" width="2.42578125" style="501" customWidth="1"/>
    <col min="14856" max="14857" width="5.140625" style="501" customWidth="1"/>
    <col min="14858" max="15104" width="11.42578125" style="501"/>
    <col min="15105" max="15105" width="20.28515625" style="501" customWidth="1"/>
    <col min="15106" max="15106" width="83.140625" style="501" customWidth="1"/>
    <col min="15107" max="15109" width="21.42578125" style="501" customWidth="1"/>
    <col min="15110" max="15110" width="19.5703125" style="501" customWidth="1"/>
    <col min="15111" max="15111" width="2.42578125" style="501" customWidth="1"/>
    <col min="15112" max="15113" width="5.140625" style="501" customWidth="1"/>
    <col min="15114" max="15360" width="11.42578125" style="501"/>
    <col min="15361" max="15361" width="20.28515625" style="501" customWidth="1"/>
    <col min="15362" max="15362" width="83.140625" style="501" customWidth="1"/>
    <col min="15363" max="15365" width="21.42578125" style="501" customWidth="1"/>
    <col min="15366" max="15366" width="19.5703125" style="501" customWidth="1"/>
    <col min="15367" max="15367" width="2.42578125" style="501" customWidth="1"/>
    <col min="15368" max="15369" width="5.140625" style="501" customWidth="1"/>
    <col min="15370" max="15616" width="11.42578125" style="501"/>
    <col min="15617" max="15617" width="20.28515625" style="501" customWidth="1"/>
    <col min="15618" max="15618" width="83.140625" style="501" customWidth="1"/>
    <col min="15619" max="15621" width="21.42578125" style="501" customWidth="1"/>
    <col min="15622" max="15622" width="19.5703125" style="501" customWidth="1"/>
    <col min="15623" max="15623" width="2.42578125" style="501" customWidth="1"/>
    <col min="15624" max="15625" width="5.140625" style="501" customWidth="1"/>
    <col min="15626" max="15872" width="11.42578125" style="501"/>
    <col min="15873" max="15873" width="20.28515625" style="501" customWidth="1"/>
    <col min="15874" max="15874" width="83.140625" style="501" customWidth="1"/>
    <col min="15875" max="15877" width="21.42578125" style="501" customWidth="1"/>
    <col min="15878" max="15878" width="19.5703125" style="501" customWidth="1"/>
    <col min="15879" max="15879" width="2.42578125" style="501" customWidth="1"/>
    <col min="15880" max="15881" width="5.140625" style="501" customWidth="1"/>
    <col min="15882" max="16128" width="11.42578125" style="501"/>
    <col min="16129" max="16129" width="20.28515625" style="501" customWidth="1"/>
    <col min="16130" max="16130" width="83.140625" style="501" customWidth="1"/>
    <col min="16131" max="16133" width="21.42578125" style="501" customWidth="1"/>
    <col min="16134" max="16134" width="19.5703125" style="501" customWidth="1"/>
    <col min="16135" max="16135" width="2.42578125" style="501" customWidth="1"/>
    <col min="16136" max="16137" width="5.140625" style="501" customWidth="1"/>
    <col min="16138" max="16384" width="11.42578125" style="501"/>
  </cols>
  <sheetData>
    <row r="1" spans="1:7" ht="12.75" x14ac:dyDescent="0.2">
      <c r="A1" s="256" t="s">
        <v>0</v>
      </c>
      <c r="B1" s="257"/>
      <c r="C1" s="577" t="s">
        <v>1</v>
      </c>
      <c r="D1" s="578"/>
      <c r="E1" s="579"/>
      <c r="F1" s="258"/>
    </row>
    <row r="2" spans="1:7" ht="12.75" x14ac:dyDescent="0.2">
      <c r="A2" s="256" t="str">
        <f>CONCATENATE("COMUNA: ",[10]NOMBRE!B2," - ","( ",[10]NOMBRE!C2,[10]NOMBRE!D2,[10]NOMBRE!E2,[10]NOMBRE!F2,[10]NOMBRE!G2," )")</f>
        <v>COMUNA: LINARES  - ( 07401 )</v>
      </c>
      <c r="B2" s="257"/>
      <c r="C2" s="580"/>
      <c r="D2" s="581"/>
      <c r="E2" s="582"/>
      <c r="F2" s="259"/>
      <c r="G2" s="260"/>
    </row>
    <row r="3" spans="1:7" ht="12.75" x14ac:dyDescent="0.2">
      <c r="A3" s="256" t="str">
        <f>CONCATENATE("ESTABLECIMIENTO/ESTRATEGIA: ",[10]NOMBRE!B3," - ","( ",[10]NOMBRE!C3,[10]NOMBRE!D3,[10]NOMBRE!E3,[10]NOMBRE!F3,[10]NOMBRE!G3,[10]NOMBRE!H3," )")</f>
        <v>ESTABLECIMIENTO/ESTRATEGIA: HOSPITAL DE LINARES  - ( 116108 )</v>
      </c>
      <c r="B3" s="257"/>
      <c r="C3" s="577" t="s">
        <v>2</v>
      </c>
      <c r="D3" s="578"/>
      <c r="E3" s="579"/>
      <c r="F3" s="259"/>
      <c r="G3" s="261"/>
    </row>
    <row r="4" spans="1:7" ht="12.75" x14ac:dyDescent="0.2">
      <c r="A4" s="256" t="str">
        <f>CONCATENATE("MES: ",[10]NOMBRE!B6," - ","( ",[10]NOMBRE!C6,[10]NOMBRE!D6," )")</f>
        <v>MES: OCTUBRE - ( 10 )</v>
      </c>
      <c r="B4" s="257"/>
      <c r="C4" s="580" t="str">
        <f>CONCATENATE([10]NOMBRE!B6," ","( ",[10]NOMBRE!C6,[10]NOMBRE!D6," )")</f>
        <v>OCTUBRE ( 10 )</v>
      </c>
      <c r="D4" s="581"/>
      <c r="E4" s="582"/>
      <c r="F4" s="259"/>
      <c r="G4" s="261"/>
    </row>
    <row r="5" spans="1:7" ht="12.75" x14ac:dyDescent="0.2">
      <c r="A5" s="256" t="str">
        <f>CONCATENATE("AÑO: ",[10]NOMBRE!B7)</f>
        <v>AÑO: 2014</v>
      </c>
      <c r="B5" s="257"/>
      <c r="C5" s="577" t="s">
        <v>3</v>
      </c>
      <c r="D5" s="578"/>
      <c r="E5" s="579"/>
      <c r="F5" s="259"/>
      <c r="G5" s="261"/>
    </row>
    <row r="6" spans="1:7" ht="12.75" x14ac:dyDescent="0.2">
      <c r="A6" s="262"/>
      <c r="B6" s="262"/>
      <c r="C6" s="580">
        <f>[10]NOMBRE!B7</f>
        <v>2014</v>
      </c>
      <c r="D6" s="581"/>
      <c r="E6" s="582"/>
      <c r="F6" s="259"/>
      <c r="G6" s="261"/>
    </row>
    <row r="7" spans="1:7" ht="15" x14ac:dyDescent="0.2">
      <c r="A7" s="589" t="s">
        <v>4</v>
      </c>
      <c r="B7" s="590"/>
      <c r="C7" s="594" t="s">
        <v>5</v>
      </c>
      <c r="D7" s="595"/>
      <c r="E7" s="596"/>
      <c r="F7" s="259"/>
      <c r="G7" s="261"/>
    </row>
    <row r="8" spans="1:7" ht="15" x14ac:dyDescent="0.2">
      <c r="A8" s="262"/>
      <c r="B8" s="527" t="s">
        <v>6</v>
      </c>
      <c r="C8" s="580" t="str">
        <f>CONCATENATE([10]NOMBRE!B3," ","( ",[10]NOMBRE!C3,[10]NOMBRE!D3,[10]NOMBRE!E3,[10]NOMBRE!F3,[10]NOMBRE!G3," )")</f>
        <v>HOSPITAL DE LINARES  ( 11610 )</v>
      </c>
      <c r="D8" s="581"/>
      <c r="E8" s="582"/>
      <c r="F8" s="259"/>
      <c r="G8" s="261"/>
    </row>
    <row r="9" spans="1:7" ht="12.75" x14ac:dyDescent="0.2">
      <c r="A9" s="262"/>
      <c r="B9" s="262"/>
      <c r="C9" s="262"/>
      <c r="D9" s="262"/>
      <c r="E9" s="262"/>
      <c r="F9" s="259"/>
      <c r="G9" s="261"/>
    </row>
    <row r="10" spans="1:7" ht="12.75" x14ac:dyDescent="0.2">
      <c r="A10" s="262"/>
      <c r="B10" s="262"/>
      <c r="C10" s="262"/>
      <c r="D10" s="262"/>
      <c r="E10" s="262"/>
      <c r="F10" s="259"/>
      <c r="G10" s="263"/>
    </row>
    <row r="11" spans="1:7" ht="12.75" x14ac:dyDescent="0.2">
      <c r="A11" s="583" t="s">
        <v>7</v>
      </c>
      <c r="B11" s="584"/>
      <c r="C11" s="584"/>
      <c r="D11" s="584"/>
      <c r="E11" s="585"/>
      <c r="F11" s="259"/>
    </row>
    <row r="12" spans="1:7" ht="43.5" customHeight="1" x14ac:dyDescent="0.2">
      <c r="A12" s="264" t="s">
        <v>8</v>
      </c>
      <c r="B12" s="264" t="s">
        <v>9</v>
      </c>
      <c r="C12" s="524" t="s">
        <v>10</v>
      </c>
      <c r="D12" s="310" t="s">
        <v>11</v>
      </c>
      <c r="E12" s="526" t="s">
        <v>12</v>
      </c>
      <c r="F12" s="262"/>
    </row>
    <row r="13" spans="1:7" ht="12.75" customHeight="1" x14ac:dyDescent="0.2">
      <c r="A13" s="586" t="s">
        <v>13</v>
      </c>
      <c r="B13" s="587"/>
      <c r="C13" s="587"/>
      <c r="D13" s="587"/>
      <c r="E13" s="588"/>
      <c r="F13" s="262"/>
    </row>
    <row r="14" spans="1:7" ht="15" customHeight="1" x14ac:dyDescent="0.2">
      <c r="A14" s="434" t="s">
        <v>14</v>
      </c>
      <c r="B14" s="443" t="s">
        <v>15</v>
      </c>
      <c r="C14" s="380">
        <f>[10]BS17A!$D13</f>
        <v>0</v>
      </c>
      <c r="D14" s="267">
        <f>[10]BS17A!$U13</f>
        <v>4170</v>
      </c>
      <c r="E14" s="268">
        <f>[10]BS17A!$V13</f>
        <v>0</v>
      </c>
      <c r="F14" s="262"/>
    </row>
    <row r="15" spans="1:7" ht="15" customHeight="1" x14ac:dyDescent="0.2">
      <c r="A15" s="435" t="s">
        <v>16</v>
      </c>
      <c r="B15" s="431" t="s">
        <v>17</v>
      </c>
      <c r="C15" s="380">
        <f>[10]BS17A!$D14</f>
        <v>0</v>
      </c>
      <c r="D15" s="270">
        <f>[10]BS17A!$U14</f>
        <v>5240</v>
      </c>
      <c r="E15" s="271">
        <f>[10]BS17A!$V14</f>
        <v>0</v>
      </c>
      <c r="F15" s="262"/>
    </row>
    <row r="16" spans="1:7" ht="15" customHeight="1" x14ac:dyDescent="0.2">
      <c r="A16" s="435" t="s">
        <v>18</v>
      </c>
      <c r="B16" s="431" t="s">
        <v>19</v>
      </c>
      <c r="C16" s="380">
        <f>[10]BS17A!$D15</f>
        <v>6542</v>
      </c>
      <c r="D16" s="270">
        <f>[10]BS17A!$U15</f>
        <v>11250</v>
      </c>
      <c r="E16" s="271">
        <f>[10]BS17A!$V15</f>
        <v>73597500</v>
      </c>
      <c r="F16" s="262"/>
    </row>
    <row r="17" spans="1:6" ht="15" customHeight="1" x14ac:dyDescent="0.2">
      <c r="A17" s="435" t="s">
        <v>20</v>
      </c>
      <c r="B17" s="431" t="s">
        <v>21</v>
      </c>
      <c r="C17" s="380">
        <f>[10]BS17A!$D16</f>
        <v>0</v>
      </c>
      <c r="D17" s="270">
        <f>[10]BS17A!$U16</f>
        <v>6720</v>
      </c>
      <c r="E17" s="271">
        <f>[10]BS17A!$V16</f>
        <v>0</v>
      </c>
      <c r="F17" s="262"/>
    </row>
    <row r="18" spans="1:6" ht="15" customHeight="1" x14ac:dyDescent="0.2">
      <c r="A18" s="435" t="s">
        <v>22</v>
      </c>
      <c r="B18" s="431" t="s">
        <v>23</v>
      </c>
      <c r="C18" s="380">
        <f>[10]BS17A!$D17</f>
        <v>0</v>
      </c>
      <c r="D18" s="270">
        <f>[10]BS17A!$U17</f>
        <v>7370</v>
      </c>
      <c r="E18" s="271">
        <f>[10]BS17A!$V17</f>
        <v>0</v>
      </c>
      <c r="F18" s="262"/>
    </row>
    <row r="19" spans="1:6" ht="33" customHeight="1" x14ac:dyDescent="0.2">
      <c r="A19" s="435" t="s">
        <v>24</v>
      </c>
      <c r="B19" s="485" t="s">
        <v>25</v>
      </c>
      <c r="C19" s="380">
        <f>[10]BS17A!$D20</f>
        <v>0</v>
      </c>
      <c r="D19" s="270">
        <f>[10]BS17A!$U20</f>
        <v>5690</v>
      </c>
      <c r="E19" s="271">
        <f>[10]BS17A!$V20</f>
        <v>0</v>
      </c>
      <c r="F19" s="262"/>
    </row>
    <row r="20" spans="1:6" ht="42.75" customHeight="1" x14ac:dyDescent="0.2">
      <c r="A20" s="435" t="s">
        <v>26</v>
      </c>
      <c r="B20" s="485" t="s">
        <v>27</v>
      </c>
      <c r="C20" s="380">
        <f>[10]BS17A!$D21</f>
        <v>0</v>
      </c>
      <c r="D20" s="270">
        <f>[10]BS17A!$U21</f>
        <v>6820</v>
      </c>
      <c r="E20" s="271">
        <f>[10]BS17A!$V21</f>
        <v>0</v>
      </c>
      <c r="F20" s="262"/>
    </row>
    <row r="21" spans="1:6" ht="42.75" customHeight="1" x14ac:dyDescent="0.2">
      <c r="A21" s="435" t="s">
        <v>28</v>
      </c>
      <c r="B21" s="485" t="s">
        <v>29</v>
      </c>
      <c r="C21" s="380">
        <f>[10]BS17A!$D22</f>
        <v>0</v>
      </c>
      <c r="D21" s="270">
        <f>[10]BS17A!$U22</f>
        <v>8460</v>
      </c>
      <c r="E21" s="271">
        <f>[10]BS17A!$V22</f>
        <v>0</v>
      </c>
      <c r="F21" s="262"/>
    </row>
    <row r="22" spans="1:6" ht="32.25" customHeight="1" x14ac:dyDescent="0.2">
      <c r="A22" s="435" t="s">
        <v>30</v>
      </c>
      <c r="B22" s="485" t="s">
        <v>31</v>
      </c>
      <c r="C22" s="380">
        <f>[10]BS17A!$D23</f>
        <v>2558</v>
      </c>
      <c r="D22" s="270">
        <f>[10]BS17A!$U23</f>
        <v>5690</v>
      </c>
      <c r="E22" s="271">
        <f>[10]BS17A!$V23</f>
        <v>14555020</v>
      </c>
      <c r="F22" s="262"/>
    </row>
    <row r="23" spans="1:6" ht="40.5" customHeight="1" x14ac:dyDescent="0.2">
      <c r="A23" s="435" t="s">
        <v>32</v>
      </c>
      <c r="B23" s="485" t="s">
        <v>33</v>
      </c>
      <c r="C23" s="380">
        <f>[10]BS17A!$D24</f>
        <v>1501</v>
      </c>
      <c r="D23" s="270">
        <f>[10]BS17A!$U24</f>
        <v>6820</v>
      </c>
      <c r="E23" s="271">
        <f>[10]BS17A!$V24</f>
        <v>10236820</v>
      </c>
      <c r="F23" s="262"/>
    </row>
    <row r="24" spans="1:6" ht="27" customHeight="1" x14ac:dyDescent="0.2">
      <c r="A24" s="435" t="s">
        <v>34</v>
      </c>
      <c r="B24" s="485" t="s">
        <v>35</v>
      </c>
      <c r="C24" s="380">
        <f>[10]BS17A!$D25</f>
        <v>2454</v>
      </c>
      <c r="D24" s="270">
        <f>[10]BS17A!$U25</f>
        <v>8460</v>
      </c>
      <c r="E24" s="271">
        <f>[10]BS17A!$V25</f>
        <v>20760840</v>
      </c>
      <c r="F24" s="262"/>
    </row>
    <row r="25" spans="1:6" ht="15" customHeight="1" x14ac:dyDescent="0.2">
      <c r="A25" s="435" t="s">
        <v>36</v>
      </c>
      <c r="B25" s="430" t="s">
        <v>37</v>
      </c>
      <c r="C25" s="380">
        <f>+[10]BS17A!$D795</f>
        <v>209</v>
      </c>
      <c r="D25" s="270">
        <f>+[10]BS17A!$U795</f>
        <v>6900</v>
      </c>
      <c r="E25" s="271">
        <f>+[10]BS17A!$V795</f>
        <v>1442100</v>
      </c>
      <c r="F25" s="262"/>
    </row>
    <row r="26" spans="1:6" ht="15" customHeight="1" x14ac:dyDescent="0.2">
      <c r="A26" s="436" t="s">
        <v>38</v>
      </c>
      <c r="B26" s="450" t="s">
        <v>39</v>
      </c>
      <c r="C26" s="395">
        <f>+[10]BS17A!$D800</f>
        <v>0</v>
      </c>
      <c r="D26" s="272">
        <f>+[10]BS17A!$U800</f>
        <v>28580</v>
      </c>
      <c r="E26" s="273">
        <f>+[10]BS17A!$V800</f>
        <v>0</v>
      </c>
      <c r="F26" s="262"/>
    </row>
    <row r="27" spans="1:6" ht="18" customHeight="1" x14ac:dyDescent="0.2">
      <c r="A27" s="586" t="s">
        <v>40</v>
      </c>
      <c r="B27" s="587"/>
      <c r="C27" s="587"/>
      <c r="D27" s="587"/>
      <c r="E27" s="588"/>
      <c r="F27" s="262"/>
    </row>
    <row r="28" spans="1:6" ht="15" customHeight="1" x14ac:dyDescent="0.2">
      <c r="A28" s="434" t="s">
        <v>41</v>
      </c>
      <c r="B28" s="443" t="s">
        <v>42</v>
      </c>
      <c r="C28" s="383">
        <f>[10]BS17A!$D27</f>
        <v>1758</v>
      </c>
      <c r="D28" s="267">
        <f>[10]BS17A!$U27</f>
        <v>1110</v>
      </c>
      <c r="E28" s="268">
        <f>[10]BS17A!$V27</f>
        <v>1951380</v>
      </c>
      <c r="F28" s="262"/>
    </row>
    <row r="29" spans="1:6" ht="15" customHeight="1" x14ac:dyDescent="0.2">
      <c r="A29" s="435" t="s">
        <v>43</v>
      </c>
      <c r="B29" s="449" t="s">
        <v>44</v>
      </c>
      <c r="C29" s="380">
        <f>[10]BS17A!$D28</f>
        <v>0</v>
      </c>
      <c r="D29" s="270">
        <f>[10]BS17A!$U28</f>
        <v>1900</v>
      </c>
      <c r="E29" s="271">
        <f>[10]BS17A!$V28</f>
        <v>0</v>
      </c>
      <c r="F29" s="262"/>
    </row>
    <row r="30" spans="1:6" ht="15" customHeight="1" x14ac:dyDescent="0.2">
      <c r="A30" s="435" t="s">
        <v>45</v>
      </c>
      <c r="B30" s="431" t="s">
        <v>46</v>
      </c>
      <c r="C30" s="380">
        <f>[10]BS17A!$D29</f>
        <v>0</v>
      </c>
      <c r="D30" s="270">
        <f>[10]BS17A!$U29</f>
        <v>610</v>
      </c>
      <c r="E30" s="271">
        <f>[10]BS17A!$V29</f>
        <v>0</v>
      </c>
      <c r="F30" s="262"/>
    </row>
    <row r="31" spans="1:6" ht="15" customHeight="1" x14ac:dyDescent="0.2">
      <c r="A31" s="435" t="s">
        <v>47</v>
      </c>
      <c r="B31" s="431" t="s">
        <v>48</v>
      </c>
      <c r="C31" s="380">
        <f>[10]BS17A!$D30</f>
        <v>93</v>
      </c>
      <c r="D31" s="270">
        <f>[10]BS17A!$U30</f>
        <v>1500</v>
      </c>
      <c r="E31" s="271">
        <f>[10]BS17A!$V30</f>
        <v>139500</v>
      </c>
      <c r="F31" s="262"/>
    </row>
    <row r="32" spans="1:6" ht="15" customHeight="1" x14ac:dyDescent="0.2">
      <c r="A32" s="435" t="s">
        <v>49</v>
      </c>
      <c r="B32" s="431" t="s">
        <v>50</v>
      </c>
      <c r="C32" s="380">
        <f>[10]BS17A!$D31</f>
        <v>1239</v>
      </c>
      <c r="D32" s="270">
        <f>[10]BS17A!$U31</f>
        <v>1210</v>
      </c>
      <c r="E32" s="271">
        <f>[10]BS17A!$V31</f>
        <v>1499190</v>
      </c>
      <c r="F32" s="262"/>
    </row>
    <row r="33" spans="1:6" ht="15" customHeight="1" x14ac:dyDescent="0.2">
      <c r="A33" s="435" t="s">
        <v>51</v>
      </c>
      <c r="B33" s="449" t="s">
        <v>52</v>
      </c>
      <c r="C33" s="380">
        <f>[10]BS17A!$D32</f>
        <v>0</v>
      </c>
      <c r="D33" s="270">
        <f>[10]BS17A!$U32</f>
        <v>1110</v>
      </c>
      <c r="E33" s="271">
        <f>[10]BS17A!$V32</f>
        <v>0</v>
      </c>
      <c r="F33" s="262"/>
    </row>
    <row r="34" spans="1:6" ht="15" customHeight="1" x14ac:dyDescent="0.2">
      <c r="A34" s="435" t="s">
        <v>53</v>
      </c>
      <c r="B34" s="431" t="s">
        <v>54</v>
      </c>
      <c r="C34" s="380">
        <f>+[10]BS17A!$D796</f>
        <v>236</v>
      </c>
      <c r="D34" s="270">
        <f>+[10]BS17A!$U796</f>
        <v>2700</v>
      </c>
      <c r="E34" s="271">
        <f>+[10]BS17A!$V796</f>
        <v>637200</v>
      </c>
      <c r="F34" s="262"/>
    </row>
    <row r="35" spans="1:6" ht="15" customHeight="1" x14ac:dyDescent="0.2">
      <c r="A35" s="435" t="s">
        <v>55</v>
      </c>
      <c r="B35" s="449" t="s">
        <v>56</v>
      </c>
      <c r="C35" s="380">
        <f>+[10]BS17A!$D797</f>
        <v>388</v>
      </c>
      <c r="D35" s="270">
        <f>+[10]BS17A!$U797</f>
        <v>2700</v>
      </c>
      <c r="E35" s="271">
        <f>+[10]BS17A!$V797</f>
        <v>1047600</v>
      </c>
      <c r="F35" s="262"/>
    </row>
    <row r="36" spans="1:6" ht="15" customHeight="1" x14ac:dyDescent="0.2">
      <c r="A36" s="435" t="s">
        <v>57</v>
      </c>
      <c r="B36" s="449" t="s">
        <v>58</v>
      </c>
      <c r="C36" s="380">
        <f>+[10]BS17A!$D798</f>
        <v>5</v>
      </c>
      <c r="D36" s="270">
        <f>+[10]BS17A!$U798</f>
        <v>10760</v>
      </c>
      <c r="E36" s="271">
        <f>+[10]BS17A!$V798</f>
        <v>53800</v>
      </c>
      <c r="F36" s="262"/>
    </row>
    <row r="37" spans="1:6" ht="15" customHeight="1" x14ac:dyDescent="0.2">
      <c r="A37" s="436" t="s">
        <v>59</v>
      </c>
      <c r="B37" s="484" t="s">
        <v>60</v>
      </c>
      <c r="C37" s="395">
        <f>+[10]BS17A!$D799</f>
        <v>37</v>
      </c>
      <c r="D37" s="272">
        <f>+[10]BS17A!$U799</f>
        <v>12600</v>
      </c>
      <c r="E37" s="273">
        <f>+[10]BS17A!$V799</f>
        <v>466200</v>
      </c>
      <c r="F37" s="262"/>
    </row>
    <row r="38" spans="1:6" ht="18" customHeight="1" x14ac:dyDescent="0.2">
      <c r="A38" s="591" t="s">
        <v>61</v>
      </c>
      <c r="B38" s="592"/>
      <c r="C38" s="592"/>
      <c r="D38" s="592"/>
      <c r="E38" s="593"/>
      <c r="F38" s="262"/>
    </row>
    <row r="39" spans="1:6" ht="15" customHeight="1" x14ac:dyDescent="0.2">
      <c r="A39" s="434" t="s">
        <v>62</v>
      </c>
      <c r="B39" s="429" t="s">
        <v>63</v>
      </c>
      <c r="C39" s="383">
        <f>+[10]BS17A!$D801</f>
        <v>0</v>
      </c>
      <c r="D39" s="275">
        <f>+[10]BS17A!$U801</f>
        <v>3550</v>
      </c>
      <c r="E39" s="276">
        <f>+[10]BS17A!$V801</f>
        <v>0</v>
      </c>
      <c r="F39" s="262"/>
    </row>
    <row r="40" spans="1:6" ht="15" customHeight="1" x14ac:dyDescent="0.2">
      <c r="A40" s="436" t="s">
        <v>64</v>
      </c>
      <c r="B40" s="444" t="s">
        <v>65</v>
      </c>
      <c r="C40" s="395">
        <f>+[10]BS17A!$D802</f>
        <v>0</v>
      </c>
      <c r="D40" s="277">
        <f>+[10]BS17A!$U802</f>
        <v>9180</v>
      </c>
      <c r="E40" s="278">
        <f>+[10]BS17A!$V802</f>
        <v>0</v>
      </c>
      <c r="F40" s="262"/>
    </row>
    <row r="41" spans="1:6" ht="18" customHeight="1" x14ac:dyDescent="0.2">
      <c r="A41" s="591" t="s">
        <v>66</v>
      </c>
      <c r="B41" s="592"/>
      <c r="C41" s="592"/>
      <c r="D41" s="592"/>
      <c r="E41" s="593"/>
      <c r="F41" s="262"/>
    </row>
    <row r="42" spans="1:6" ht="15" customHeight="1" x14ac:dyDescent="0.2">
      <c r="A42" s="434" t="s">
        <v>67</v>
      </c>
      <c r="B42" s="451" t="s">
        <v>68</v>
      </c>
      <c r="C42" s="383">
        <f>+[10]BS17A!$D34</f>
        <v>62</v>
      </c>
      <c r="D42" s="275">
        <f>+[10]BS17A!$U34</f>
        <v>3640</v>
      </c>
      <c r="E42" s="276">
        <f>+[10]BS17A!$V34</f>
        <v>225680</v>
      </c>
      <c r="F42" s="262"/>
    </row>
    <row r="43" spans="1:6" ht="15" customHeight="1" x14ac:dyDescent="0.2">
      <c r="A43" s="435" t="s">
        <v>69</v>
      </c>
      <c r="B43" s="431" t="s">
        <v>70</v>
      </c>
      <c r="C43" s="380">
        <f>+[10]BS17A!$D35</f>
        <v>712</v>
      </c>
      <c r="D43" s="270">
        <f>+[10]BS17A!$U35</f>
        <v>2000</v>
      </c>
      <c r="E43" s="271">
        <f>+[10]BS17A!$V35</f>
        <v>1424000</v>
      </c>
      <c r="F43" s="262"/>
    </row>
    <row r="44" spans="1:6" ht="15" customHeight="1" x14ac:dyDescent="0.2">
      <c r="A44" s="435" t="s">
        <v>71</v>
      </c>
      <c r="B44" s="431" t="s">
        <v>72</v>
      </c>
      <c r="C44" s="380">
        <f>+[10]BS17A!$D36</f>
        <v>1</v>
      </c>
      <c r="D44" s="270">
        <f>+[10]BS17A!$U36</f>
        <v>2000</v>
      </c>
      <c r="E44" s="271">
        <f>+[10]BS17A!$V36</f>
        <v>2000</v>
      </c>
      <c r="F44" s="262"/>
    </row>
    <row r="45" spans="1:6" ht="15" customHeight="1" x14ac:dyDescent="0.2">
      <c r="A45" s="436" t="s">
        <v>73</v>
      </c>
      <c r="B45" s="432" t="s">
        <v>74</v>
      </c>
      <c r="C45" s="395">
        <f>+[10]BS17A!$D37</f>
        <v>709</v>
      </c>
      <c r="D45" s="277">
        <f>+[10]BS17A!$U37</f>
        <v>610</v>
      </c>
      <c r="E45" s="278">
        <f>+[10]BS17A!$V37</f>
        <v>432490</v>
      </c>
      <c r="F45" s="262"/>
    </row>
    <row r="46" spans="1:6" ht="18" customHeight="1" x14ac:dyDescent="0.2">
      <c r="A46" s="591" t="s">
        <v>75</v>
      </c>
      <c r="B46" s="592"/>
      <c r="C46" s="592"/>
      <c r="D46" s="592"/>
      <c r="E46" s="593"/>
      <c r="F46" s="262"/>
    </row>
    <row r="47" spans="1:6" ht="15" customHeight="1" x14ac:dyDescent="0.2">
      <c r="A47" s="434" t="s">
        <v>76</v>
      </c>
      <c r="B47" s="451" t="s">
        <v>77</v>
      </c>
      <c r="C47" s="383">
        <f>+[10]BS17A!$D39</f>
        <v>9</v>
      </c>
      <c r="D47" s="275">
        <f>+[10]BS17A!$U39</f>
        <v>1730</v>
      </c>
      <c r="E47" s="276">
        <f>+[10]BS17A!$V39</f>
        <v>15570</v>
      </c>
      <c r="F47" s="262"/>
    </row>
    <row r="48" spans="1:6" ht="15" customHeight="1" x14ac:dyDescent="0.2">
      <c r="A48" s="435" t="s">
        <v>78</v>
      </c>
      <c r="B48" s="431" t="s">
        <v>79</v>
      </c>
      <c r="C48" s="380">
        <f>+[10]BS17A!$D40</f>
        <v>19</v>
      </c>
      <c r="D48" s="270">
        <f>+[10]BS17A!$U40</f>
        <v>1730</v>
      </c>
      <c r="E48" s="271">
        <f>+[10]BS17A!$V40</f>
        <v>32870</v>
      </c>
      <c r="F48" s="262"/>
    </row>
    <row r="49" spans="1:7" ht="15" customHeight="1" x14ac:dyDescent="0.2">
      <c r="A49" s="436" t="s">
        <v>80</v>
      </c>
      <c r="B49" s="432" t="s">
        <v>81</v>
      </c>
      <c r="C49" s="395">
        <f>+[10]BS17A!$D41</f>
        <v>0</v>
      </c>
      <c r="D49" s="277">
        <f>+[10]BS17A!$U41</f>
        <v>1000</v>
      </c>
      <c r="E49" s="278">
        <f>+[10]BS17A!$V41</f>
        <v>0</v>
      </c>
      <c r="F49" s="262"/>
    </row>
    <row r="50" spans="1:7" ht="18" customHeight="1" x14ac:dyDescent="0.2">
      <c r="A50" s="279"/>
      <c r="B50" s="411" t="s">
        <v>82</v>
      </c>
      <c r="C50" s="279">
        <f>SUM(C14:C49)</f>
        <v>18532</v>
      </c>
      <c r="D50" s="280"/>
      <c r="E50" s="281">
        <f>SUM(E14:E49)</f>
        <v>128519760</v>
      </c>
      <c r="F50" s="262"/>
    </row>
    <row r="51" spans="1:7" ht="18" customHeight="1" x14ac:dyDescent="0.2">
      <c r="A51" s="282"/>
      <c r="B51" s="282"/>
      <c r="C51" s="282"/>
      <c r="D51" s="283"/>
      <c r="E51" s="284"/>
      <c r="F51" s="262"/>
    </row>
    <row r="52" spans="1:7" ht="12.75" x14ac:dyDescent="0.2">
      <c r="A52" s="262"/>
      <c r="B52" s="262"/>
      <c r="C52" s="262"/>
      <c r="D52" s="262"/>
      <c r="E52" s="262"/>
      <c r="F52" s="285"/>
      <c r="G52" s="286"/>
    </row>
    <row r="53" spans="1:7" ht="12.75" x14ac:dyDescent="0.2">
      <c r="A53" s="591" t="s">
        <v>83</v>
      </c>
      <c r="B53" s="592"/>
      <c r="C53" s="592"/>
      <c r="D53" s="592"/>
      <c r="E53" s="593"/>
      <c r="F53" s="285"/>
      <c r="G53" s="286"/>
    </row>
    <row r="54" spans="1:7" ht="42.75" customHeight="1" x14ac:dyDescent="0.2">
      <c r="A54" s="264" t="s">
        <v>8</v>
      </c>
      <c r="B54" s="264" t="s">
        <v>84</v>
      </c>
      <c r="C54" s="524" t="s">
        <v>10</v>
      </c>
      <c r="D54" s="311"/>
      <c r="E54" s="526" t="s">
        <v>12</v>
      </c>
      <c r="F54" s="262"/>
    </row>
    <row r="55" spans="1:7" ht="18" customHeight="1" x14ac:dyDescent="0.2">
      <c r="A55" s="529" t="s">
        <v>85</v>
      </c>
      <c r="B55" s="474" t="s">
        <v>86</v>
      </c>
      <c r="C55" s="316">
        <f>+[10]BS17!$D12</f>
        <v>64633</v>
      </c>
      <c r="D55" s="288"/>
      <c r="E55" s="289">
        <f>+E56+E57+E58+E59+E60+E61+E65+E66+E67</f>
        <v>89565340</v>
      </c>
      <c r="F55" s="262"/>
    </row>
    <row r="56" spans="1:7" ht="15" customHeight="1" x14ac:dyDescent="0.2">
      <c r="A56" s="472" t="s">
        <v>87</v>
      </c>
      <c r="B56" s="443" t="s">
        <v>88</v>
      </c>
      <c r="C56" s="426">
        <f>+[10]BS17!$D13</f>
        <v>25641</v>
      </c>
      <c r="D56" s="290"/>
      <c r="E56" s="291">
        <f>+[10]BS17A!V83</f>
        <v>26187130</v>
      </c>
      <c r="F56" s="262"/>
    </row>
    <row r="57" spans="1:7" ht="15" customHeight="1" x14ac:dyDescent="0.2">
      <c r="A57" s="435" t="s">
        <v>89</v>
      </c>
      <c r="B57" s="430" t="s">
        <v>90</v>
      </c>
      <c r="C57" s="380">
        <f>+[10]BS17!$D14</f>
        <v>26981</v>
      </c>
      <c r="D57" s="293"/>
      <c r="E57" s="294">
        <f>+[10]BS17A!V174</f>
        <v>31825630</v>
      </c>
      <c r="F57" s="262"/>
    </row>
    <row r="58" spans="1:7" ht="15" customHeight="1" x14ac:dyDescent="0.2">
      <c r="A58" s="435" t="s">
        <v>91</v>
      </c>
      <c r="B58" s="430" t="s">
        <v>92</v>
      </c>
      <c r="C58" s="380">
        <f>+[10]BS17!$D15</f>
        <v>1251</v>
      </c>
      <c r="D58" s="293"/>
      <c r="E58" s="294">
        <f>+[10]BS17A!V243</f>
        <v>4377690</v>
      </c>
      <c r="F58" s="262"/>
    </row>
    <row r="59" spans="1:7" ht="15" customHeight="1" x14ac:dyDescent="0.2">
      <c r="A59" s="435" t="s">
        <v>93</v>
      </c>
      <c r="B59" s="430" t="s">
        <v>94</v>
      </c>
      <c r="C59" s="380">
        <f>+[10]BS17!$D16</f>
        <v>0</v>
      </c>
      <c r="D59" s="293"/>
      <c r="E59" s="294">
        <f>+[10]BS17A!V289</f>
        <v>0</v>
      </c>
      <c r="F59" s="262"/>
    </row>
    <row r="60" spans="1:7" ht="15" customHeight="1" x14ac:dyDescent="0.2">
      <c r="A60" s="467" t="s">
        <v>95</v>
      </c>
      <c r="B60" s="450" t="s">
        <v>96</v>
      </c>
      <c r="C60" s="410">
        <f>+[10]BS17!$D17</f>
        <v>1645</v>
      </c>
      <c r="D60" s="295"/>
      <c r="E60" s="296">
        <f>+[10]BS17A!V295</f>
        <v>7765740</v>
      </c>
      <c r="F60" s="262"/>
    </row>
    <row r="61" spans="1:7" ht="15" customHeight="1" x14ac:dyDescent="0.2">
      <c r="A61" s="434" t="s">
        <v>97</v>
      </c>
      <c r="B61" s="475" t="s">
        <v>98</v>
      </c>
      <c r="C61" s="412">
        <f>+[10]BS17!$D18</f>
        <v>5808</v>
      </c>
      <c r="D61" s="297"/>
      <c r="E61" s="298">
        <f>SUM(E62:E64)</f>
        <v>15121960</v>
      </c>
      <c r="F61" s="262"/>
    </row>
    <row r="62" spans="1:7" ht="15" customHeight="1" x14ac:dyDescent="0.2">
      <c r="A62" s="478"/>
      <c r="B62" s="451" t="s">
        <v>99</v>
      </c>
      <c r="C62" s="383">
        <f>+[10]BS17!$D19</f>
        <v>4735</v>
      </c>
      <c r="D62" s="299"/>
      <c r="E62" s="300">
        <f>+[10]BS17A!V362</f>
        <v>10812410</v>
      </c>
      <c r="F62" s="262"/>
    </row>
    <row r="63" spans="1:7" ht="15" customHeight="1" x14ac:dyDescent="0.2">
      <c r="A63" s="478"/>
      <c r="B63" s="430" t="s">
        <v>100</v>
      </c>
      <c r="C63" s="380">
        <f>+[10]BS17!$D20</f>
        <v>41</v>
      </c>
      <c r="D63" s="293"/>
      <c r="E63" s="294">
        <f>+[10]BS17A!V405</f>
        <v>114720</v>
      </c>
      <c r="F63" s="262"/>
    </row>
    <row r="64" spans="1:7" ht="15" customHeight="1" x14ac:dyDescent="0.2">
      <c r="A64" s="479"/>
      <c r="B64" s="432" t="s">
        <v>101</v>
      </c>
      <c r="C64" s="395">
        <f>+[10]BS17!$D21</f>
        <v>1032</v>
      </c>
      <c r="D64" s="301"/>
      <c r="E64" s="302">
        <f>+[10]BS17A!V428</f>
        <v>4194830</v>
      </c>
      <c r="F64" s="262"/>
    </row>
    <row r="65" spans="1:7" ht="15" customHeight="1" x14ac:dyDescent="0.2">
      <c r="A65" s="472" t="s">
        <v>102</v>
      </c>
      <c r="B65" s="471" t="s">
        <v>103</v>
      </c>
      <c r="C65" s="426">
        <f>+[10]BS17!$D22</f>
        <v>0</v>
      </c>
      <c r="D65" s="290"/>
      <c r="E65" s="291">
        <f>+[10]BS17A!V446</f>
        <v>0</v>
      </c>
      <c r="F65" s="262"/>
    </row>
    <row r="66" spans="1:7" ht="15" customHeight="1" x14ac:dyDescent="0.2">
      <c r="A66" s="435" t="s">
        <v>104</v>
      </c>
      <c r="B66" s="430" t="s">
        <v>105</v>
      </c>
      <c r="C66" s="380">
        <f>+[10]BS17!$D23</f>
        <v>79</v>
      </c>
      <c r="D66" s="293"/>
      <c r="E66" s="294">
        <f>+[10]BS17A!V456</f>
        <v>151440</v>
      </c>
      <c r="F66" s="262"/>
    </row>
    <row r="67" spans="1:7" ht="15" customHeight="1" x14ac:dyDescent="0.2">
      <c r="A67" s="467" t="s">
        <v>106</v>
      </c>
      <c r="B67" s="450" t="s">
        <v>107</v>
      </c>
      <c r="C67" s="410">
        <f>+[10]BS17!$D24</f>
        <v>3228</v>
      </c>
      <c r="D67" s="295"/>
      <c r="E67" s="296">
        <f>+[10]BS17A!V500</f>
        <v>4135750</v>
      </c>
      <c r="F67" s="262"/>
    </row>
    <row r="68" spans="1:7" ht="15" customHeight="1" x14ac:dyDescent="0.2">
      <c r="A68" s="480" t="s">
        <v>108</v>
      </c>
      <c r="B68" s="470" t="s">
        <v>109</v>
      </c>
      <c r="C68" s="427">
        <f>+[10]BS17!$D25</f>
        <v>4984</v>
      </c>
      <c r="D68" s="303"/>
      <c r="E68" s="304">
        <f>SUM(E69:E74)</f>
        <v>79479600</v>
      </c>
      <c r="F68" s="262"/>
    </row>
    <row r="69" spans="1:7" ht="15" customHeight="1" x14ac:dyDescent="0.2">
      <c r="A69" s="435" t="s">
        <v>110</v>
      </c>
      <c r="B69" s="430" t="s">
        <v>111</v>
      </c>
      <c r="C69" s="380">
        <f>+[10]BS17!$D26</f>
        <v>3046</v>
      </c>
      <c r="D69" s="293"/>
      <c r="E69" s="294">
        <f>+[10]BS17A!V535</f>
        <v>24174670</v>
      </c>
      <c r="F69" s="262"/>
    </row>
    <row r="70" spans="1:7" ht="15" customHeight="1" x14ac:dyDescent="0.2">
      <c r="A70" s="435" t="s">
        <v>112</v>
      </c>
      <c r="B70" s="430" t="s">
        <v>113</v>
      </c>
      <c r="C70" s="380">
        <f>+[10]BS17!$D27</f>
        <v>17</v>
      </c>
      <c r="D70" s="293"/>
      <c r="E70" s="294">
        <f>+[10]BS17A!V590</f>
        <v>623780</v>
      </c>
      <c r="F70" s="262"/>
    </row>
    <row r="71" spans="1:7" ht="15" customHeight="1" x14ac:dyDescent="0.2">
      <c r="A71" s="435" t="s">
        <v>114</v>
      </c>
      <c r="B71" s="430" t="s">
        <v>115</v>
      </c>
      <c r="C71" s="380">
        <f>+[10]BS17!$D28</f>
        <v>812</v>
      </c>
      <c r="D71" s="293"/>
      <c r="E71" s="294">
        <f>+[10]BS17A!V615</f>
        <v>41036550</v>
      </c>
      <c r="F71" s="262"/>
    </row>
    <row r="72" spans="1:7" ht="15" customHeight="1" x14ac:dyDescent="0.2">
      <c r="A72" s="435" t="s">
        <v>116</v>
      </c>
      <c r="B72" s="430" t="s">
        <v>117</v>
      </c>
      <c r="C72" s="380">
        <f>+[10]BS17!$D30+[10]BS17!$D32</f>
        <v>871</v>
      </c>
      <c r="D72" s="293"/>
      <c r="E72" s="294">
        <f>+[10]BS17A!V633-[10]BS17A!V634</f>
        <v>12433180</v>
      </c>
      <c r="F72" s="262"/>
    </row>
    <row r="73" spans="1:7" ht="15" customHeight="1" x14ac:dyDescent="0.2">
      <c r="A73" s="481"/>
      <c r="B73" s="430" t="s">
        <v>118</v>
      </c>
      <c r="C73" s="380">
        <f>+[10]BS17!$D31</f>
        <v>238</v>
      </c>
      <c r="D73" s="293"/>
      <c r="E73" s="294">
        <f>+[10]BS17A!V634</f>
        <v>1211420</v>
      </c>
      <c r="F73" s="262"/>
    </row>
    <row r="74" spans="1:7" ht="15" customHeight="1" x14ac:dyDescent="0.2">
      <c r="A74" s="482" t="s">
        <v>119</v>
      </c>
      <c r="B74" s="476" t="s">
        <v>120</v>
      </c>
      <c r="C74" s="417">
        <f>+[10]BS17!$D33</f>
        <v>0</v>
      </c>
      <c r="D74" s="389"/>
      <c r="E74" s="390">
        <f>+[10]BS17A!V654</f>
        <v>0</v>
      </c>
      <c r="F74" s="262"/>
    </row>
    <row r="75" spans="1:7" ht="15" customHeight="1" x14ac:dyDescent="0.2">
      <c r="A75" s="483" t="s">
        <v>121</v>
      </c>
      <c r="B75" s="477" t="s">
        <v>122</v>
      </c>
      <c r="C75" s="428">
        <f>+[10]BS17!$D34</f>
        <v>0</v>
      </c>
      <c r="D75" s="305"/>
      <c r="E75" s="306">
        <f>+[10]BS17A!V783</f>
        <v>0</v>
      </c>
      <c r="F75" s="262"/>
    </row>
    <row r="76" spans="1:7" ht="15" customHeight="1" x14ac:dyDescent="0.2">
      <c r="A76" s="437"/>
      <c r="B76" s="528" t="s">
        <v>123</v>
      </c>
      <c r="C76" s="316">
        <f>+C55+C68+C75</f>
        <v>69617</v>
      </c>
      <c r="D76" s="288"/>
      <c r="E76" s="308">
        <f>+E55+E68+E75</f>
        <v>169044940</v>
      </c>
      <c r="F76" s="262"/>
    </row>
    <row r="77" spans="1:7" ht="12.75" x14ac:dyDescent="0.2">
      <c r="A77" s="262"/>
      <c r="B77" s="262"/>
      <c r="C77" s="262"/>
      <c r="D77" s="262"/>
      <c r="E77" s="262"/>
      <c r="F77" s="285"/>
      <c r="G77" s="286"/>
    </row>
    <row r="78" spans="1:7" ht="12.75" x14ac:dyDescent="0.2">
      <c r="A78" s="262"/>
      <c r="B78" s="262"/>
      <c r="C78" s="262"/>
      <c r="D78" s="262"/>
      <c r="E78" s="262"/>
      <c r="F78" s="285"/>
      <c r="G78" s="286"/>
    </row>
    <row r="79" spans="1:7" ht="12.75" x14ac:dyDescent="0.2">
      <c r="A79" s="583" t="s">
        <v>124</v>
      </c>
      <c r="B79" s="584"/>
      <c r="C79" s="584"/>
      <c r="D79" s="584"/>
      <c r="E79" s="585"/>
      <c r="F79" s="285"/>
      <c r="G79" s="286"/>
    </row>
    <row r="80" spans="1:7" ht="45" customHeight="1" x14ac:dyDescent="0.2">
      <c r="A80" s="264" t="s">
        <v>8</v>
      </c>
      <c r="B80" s="525" t="s">
        <v>9</v>
      </c>
      <c r="C80" s="309" t="s">
        <v>10</v>
      </c>
      <c r="D80" s="311"/>
      <c r="E80" s="312" t="s">
        <v>12</v>
      </c>
      <c r="F80" s="285"/>
      <c r="G80" s="286"/>
    </row>
    <row r="81" spans="1:6" ht="15" customHeight="1" x14ac:dyDescent="0.2">
      <c r="A81" s="473" t="s">
        <v>125</v>
      </c>
      <c r="B81" s="443" t="s">
        <v>126</v>
      </c>
      <c r="C81" s="383">
        <f>+[10]BS17!D49</f>
        <v>0</v>
      </c>
      <c r="D81" s="290"/>
      <c r="E81" s="313">
        <f>+SUM([10]BS17A!V673+[10]BS17A!V719)</f>
        <v>0</v>
      </c>
      <c r="F81" s="262"/>
    </row>
    <row r="82" spans="1:6" ht="15" customHeight="1" x14ac:dyDescent="0.2">
      <c r="A82" s="457">
        <v>2001</v>
      </c>
      <c r="B82" s="430" t="s">
        <v>127</v>
      </c>
      <c r="C82" s="380">
        <f>+[10]BS17!E130</f>
        <v>1120</v>
      </c>
      <c r="D82" s="293"/>
      <c r="E82" s="314">
        <f>+[10]BS17A!V1574</f>
        <v>9959180</v>
      </c>
      <c r="F82" s="262"/>
    </row>
    <row r="83" spans="1:6" ht="15" customHeight="1" x14ac:dyDescent="0.2">
      <c r="A83" s="467" t="s">
        <v>128</v>
      </c>
      <c r="B83" s="450" t="s">
        <v>129</v>
      </c>
      <c r="C83" s="410">
        <f>+[10]BS17A!D1849</f>
        <v>41</v>
      </c>
      <c r="D83" s="295"/>
      <c r="E83" s="315">
        <f>+[10]BS17A!V1849</f>
        <v>2385480</v>
      </c>
      <c r="F83" s="262"/>
    </row>
    <row r="84" spans="1:6" ht="17.25" customHeight="1" x14ac:dyDescent="0.2">
      <c r="A84" s="437"/>
      <c r="B84" s="528" t="s">
        <v>130</v>
      </c>
      <c r="C84" s="316">
        <f>+SUM(C81:C83)</f>
        <v>1161</v>
      </c>
      <c r="D84" s="288"/>
      <c r="E84" s="317">
        <f>SUM(E81:E83)</f>
        <v>12344660</v>
      </c>
      <c r="F84" s="262"/>
    </row>
    <row r="85" spans="1:6" ht="12.75" x14ac:dyDescent="0.2">
      <c r="A85" s="262"/>
      <c r="B85" s="262"/>
      <c r="C85" s="262"/>
      <c r="D85" s="262"/>
      <c r="E85" s="262"/>
      <c r="F85" s="262"/>
    </row>
    <row r="86" spans="1:6" ht="12.75" x14ac:dyDescent="0.2">
      <c r="A86" s="262"/>
      <c r="B86" s="262"/>
      <c r="C86" s="262"/>
      <c r="D86" s="262"/>
      <c r="E86" s="262"/>
      <c r="F86" s="259"/>
    </row>
    <row r="87" spans="1:6" ht="12.75" x14ac:dyDescent="0.15">
      <c r="A87" s="597" t="s">
        <v>131</v>
      </c>
      <c r="B87" s="598"/>
      <c r="C87" s="598"/>
      <c r="D87" s="598"/>
      <c r="E87" s="598"/>
      <c r="F87" s="599"/>
    </row>
    <row r="88" spans="1:6" ht="33.75" customHeight="1" x14ac:dyDescent="0.15">
      <c r="A88" s="611" t="s">
        <v>8</v>
      </c>
      <c r="B88" s="611" t="s">
        <v>9</v>
      </c>
      <c r="C88" s="586" t="s">
        <v>10</v>
      </c>
      <c r="D88" s="587"/>
      <c r="E88" s="587"/>
      <c r="F88" s="588"/>
    </row>
    <row r="89" spans="1:6" ht="45" customHeight="1" x14ac:dyDescent="0.15">
      <c r="A89" s="612"/>
      <c r="B89" s="612"/>
      <c r="C89" s="525" t="s">
        <v>132</v>
      </c>
      <c r="D89" s="394" t="s">
        <v>133</v>
      </c>
      <c r="E89" s="310" t="s">
        <v>134</v>
      </c>
      <c r="F89" s="526" t="s">
        <v>12</v>
      </c>
    </row>
    <row r="90" spans="1:6" ht="15" customHeight="1" x14ac:dyDescent="0.2">
      <c r="A90" s="434" t="s">
        <v>135</v>
      </c>
      <c r="B90" s="429" t="s">
        <v>136</v>
      </c>
      <c r="C90" s="420">
        <f>+[10]BS17!F68</f>
        <v>5</v>
      </c>
      <c r="D90" s="318">
        <f>+[10]BS17!G68</f>
        <v>0</v>
      </c>
      <c r="E90" s="319">
        <f>+[10]BS17!H68</f>
        <v>0</v>
      </c>
      <c r="F90" s="320">
        <f>[10]BS17A!V811</f>
        <v>747100</v>
      </c>
    </row>
    <row r="91" spans="1:6" ht="15" customHeight="1" x14ac:dyDescent="0.2">
      <c r="A91" s="435" t="s">
        <v>137</v>
      </c>
      <c r="B91" s="430" t="s">
        <v>138</v>
      </c>
      <c r="C91" s="421">
        <f>+[10]BS17!F69</f>
        <v>157</v>
      </c>
      <c r="D91" s="321">
        <f>+[10]BS17!G69</f>
        <v>0</v>
      </c>
      <c r="E91" s="322">
        <f>+[10]BS17!H69</f>
        <v>0</v>
      </c>
      <c r="F91" s="323">
        <f>[10]BS17A!V882</f>
        <v>35001460</v>
      </c>
    </row>
    <row r="92" spans="1:6" ht="15" customHeight="1" x14ac:dyDescent="0.2">
      <c r="A92" s="435" t="s">
        <v>139</v>
      </c>
      <c r="B92" s="430" t="s">
        <v>140</v>
      </c>
      <c r="C92" s="421">
        <f>+[10]BS17!F70</f>
        <v>38</v>
      </c>
      <c r="D92" s="321">
        <f>+[10]BS17!G70</f>
        <v>3</v>
      </c>
      <c r="E92" s="322">
        <f>+[10]BS17!H70</f>
        <v>0</v>
      </c>
      <c r="F92" s="323">
        <f>[10]BS17A!V961</f>
        <v>4229355</v>
      </c>
    </row>
    <row r="93" spans="1:6" ht="15" customHeight="1" x14ac:dyDescent="0.2">
      <c r="A93" s="435" t="s">
        <v>141</v>
      </c>
      <c r="B93" s="430" t="s">
        <v>142</v>
      </c>
      <c r="C93" s="421">
        <f>+[10]BS17!F71</f>
        <v>4</v>
      </c>
      <c r="D93" s="321">
        <f>+[10]BS17!G71</f>
        <v>0</v>
      </c>
      <c r="E93" s="322">
        <f>+[10]BS17!H71</f>
        <v>0</v>
      </c>
      <c r="F93" s="323">
        <f>[10]BS17A!V1037</f>
        <v>323100</v>
      </c>
    </row>
    <row r="94" spans="1:6" ht="15" customHeight="1" x14ac:dyDescent="0.2">
      <c r="A94" s="435" t="s">
        <v>143</v>
      </c>
      <c r="B94" s="430" t="s">
        <v>144</v>
      </c>
      <c r="C94" s="421">
        <f>+[10]BS17!F72</f>
        <v>71</v>
      </c>
      <c r="D94" s="321">
        <f>+[10]BS17!G72</f>
        <v>2</v>
      </c>
      <c r="E94" s="322">
        <f>+[10]BS17!H72</f>
        <v>0</v>
      </c>
      <c r="F94" s="323">
        <f>[10]BS17A!V1098</f>
        <v>4093590</v>
      </c>
    </row>
    <row r="95" spans="1:6" ht="15" customHeight="1" x14ac:dyDescent="0.2">
      <c r="A95" s="435" t="s">
        <v>145</v>
      </c>
      <c r="B95" s="430" t="s">
        <v>146</v>
      </c>
      <c r="C95" s="421">
        <f>+[10]BS17!F73</f>
        <v>109</v>
      </c>
      <c r="D95" s="321">
        <f>+[10]BS17!G73</f>
        <v>5</v>
      </c>
      <c r="E95" s="322">
        <f>+[10]BS17!H73</f>
        <v>0</v>
      </c>
      <c r="F95" s="323">
        <f>[10]BS17A!V1166</f>
        <v>2327810</v>
      </c>
    </row>
    <row r="96" spans="1:6" ht="15" customHeight="1" x14ac:dyDescent="0.2">
      <c r="A96" s="435" t="s">
        <v>147</v>
      </c>
      <c r="B96" s="430" t="s">
        <v>148</v>
      </c>
      <c r="C96" s="421">
        <f>+[10]BS17!F74</f>
        <v>6</v>
      </c>
      <c r="D96" s="321">
        <f>+[10]BS17!G74</f>
        <v>2</v>
      </c>
      <c r="E96" s="322">
        <f>+[10]BS17!H74</f>
        <v>0</v>
      </c>
      <c r="F96" s="323">
        <f>[10]BS17A!V1221</f>
        <v>1063330</v>
      </c>
    </row>
    <row r="97" spans="1:6" ht="15" customHeight="1" x14ac:dyDescent="0.2">
      <c r="A97" s="435" t="s">
        <v>149</v>
      </c>
      <c r="B97" s="430" t="s">
        <v>150</v>
      </c>
      <c r="C97" s="421">
        <f>+[10]BS17!F75</f>
        <v>5</v>
      </c>
      <c r="D97" s="321">
        <f>+[10]BS17!G75</f>
        <v>0</v>
      </c>
      <c r="E97" s="322">
        <f>+[10]BS17!H75</f>
        <v>0</v>
      </c>
      <c r="F97" s="323">
        <f>[10]BS17A!V1287</f>
        <v>447640</v>
      </c>
    </row>
    <row r="98" spans="1:6" ht="15" customHeight="1" x14ac:dyDescent="0.2">
      <c r="A98" s="435" t="s">
        <v>151</v>
      </c>
      <c r="B98" s="430" t="s">
        <v>152</v>
      </c>
      <c r="C98" s="421">
        <f>+[10]BS17!F76</f>
        <v>184</v>
      </c>
      <c r="D98" s="321">
        <f>+[10]BS17!G76</f>
        <v>20</v>
      </c>
      <c r="E98" s="322">
        <f>+[10]BS17!H76</f>
        <v>0</v>
      </c>
      <c r="F98" s="323">
        <f>[10]BS17A!V1357</f>
        <v>44001225</v>
      </c>
    </row>
    <row r="99" spans="1:6" ht="15" customHeight="1" x14ac:dyDescent="0.2">
      <c r="A99" s="435" t="s">
        <v>153</v>
      </c>
      <c r="B99" s="430" t="s">
        <v>154</v>
      </c>
      <c r="C99" s="421">
        <f>+[10]BS17!F77</f>
        <v>12</v>
      </c>
      <c r="D99" s="321">
        <f>+[10]BS17!G77</f>
        <v>0</v>
      </c>
      <c r="E99" s="322">
        <f>+[10]BS17!H77</f>
        <v>0</v>
      </c>
      <c r="F99" s="323">
        <f>[10]BS17A!V1441</f>
        <v>1307260</v>
      </c>
    </row>
    <row r="100" spans="1:6" ht="15" customHeight="1" x14ac:dyDescent="0.2">
      <c r="A100" s="435" t="s">
        <v>155</v>
      </c>
      <c r="B100" s="430" t="s">
        <v>156</v>
      </c>
      <c r="C100" s="421">
        <f>+[10]BS17!F78</f>
        <v>46</v>
      </c>
      <c r="D100" s="321">
        <f>+[10]BS17!G78</f>
        <v>3</v>
      </c>
      <c r="E100" s="322">
        <f>+[10]BS17!H78</f>
        <v>0</v>
      </c>
      <c r="F100" s="323">
        <f>[10]BS17A!V1489</f>
        <v>8189875</v>
      </c>
    </row>
    <row r="101" spans="1:6" ht="15" customHeight="1" x14ac:dyDescent="0.2">
      <c r="A101" s="435" t="s">
        <v>157</v>
      </c>
      <c r="B101" s="430" t="s">
        <v>158</v>
      </c>
      <c r="C101" s="421">
        <f>+[10]BS17!F79</f>
        <v>7</v>
      </c>
      <c r="D101" s="321">
        <f>+[10]BS17!G79</f>
        <v>1</v>
      </c>
      <c r="E101" s="322">
        <f>+[10]BS17!H79</f>
        <v>0</v>
      </c>
      <c r="F101" s="323">
        <f>[10]BS17A!V1592</f>
        <v>1411265</v>
      </c>
    </row>
    <row r="102" spans="1:6" ht="15" customHeight="1" x14ac:dyDescent="0.2">
      <c r="A102" s="467" t="s">
        <v>159</v>
      </c>
      <c r="B102" s="450" t="s">
        <v>160</v>
      </c>
      <c r="C102" s="422">
        <f>+[10]BS17!F80</f>
        <v>51</v>
      </c>
      <c r="D102" s="324">
        <f>+[10]BS17!G80</f>
        <v>6</v>
      </c>
      <c r="E102" s="325">
        <f>+[10]BS17!H80</f>
        <v>0</v>
      </c>
      <c r="F102" s="326">
        <f>[10]BS17A!V1597</f>
        <v>9171675</v>
      </c>
    </row>
    <row r="103" spans="1:6" ht="15" customHeight="1" x14ac:dyDescent="0.2">
      <c r="A103" s="434" t="s">
        <v>161</v>
      </c>
      <c r="B103" s="429" t="s">
        <v>162</v>
      </c>
      <c r="C103" s="420">
        <f>+[10]BS17!F81</f>
        <v>63</v>
      </c>
      <c r="D103" s="318">
        <f>+[10]BS17!G81</f>
        <v>1</v>
      </c>
      <c r="E103" s="319">
        <f>+[10]BS17!H81</f>
        <v>0</v>
      </c>
      <c r="F103" s="320">
        <f>+[10]BS17A!V1631</f>
        <v>7700385</v>
      </c>
    </row>
    <row r="104" spans="1:6" ht="15" customHeight="1" x14ac:dyDescent="0.2">
      <c r="A104" s="435"/>
      <c r="B104" s="430" t="s">
        <v>163</v>
      </c>
      <c r="C104" s="421">
        <f>+[10]BS17A!D1635</f>
        <v>0</v>
      </c>
      <c r="D104" s="321">
        <f>+[10]BS17A!F1635</f>
        <v>0</v>
      </c>
      <c r="E104" s="322">
        <f>+[10]BS17A!G1635</f>
        <v>0</v>
      </c>
      <c r="F104" s="323">
        <f>+[10]BS17A!V1635</f>
        <v>0</v>
      </c>
    </row>
    <row r="105" spans="1:6" ht="15" customHeight="1" x14ac:dyDescent="0.2">
      <c r="A105" s="435"/>
      <c r="B105" s="430" t="s">
        <v>164</v>
      </c>
      <c r="C105" s="421">
        <f>+[10]BS17A!D1634</f>
        <v>48</v>
      </c>
      <c r="D105" s="321">
        <f>+[10]BS17A!F1634</f>
        <v>0</v>
      </c>
      <c r="E105" s="322">
        <f>+[10]BS17A!G1634</f>
        <v>0</v>
      </c>
      <c r="F105" s="323">
        <f>+[10]BS17A!V1634</f>
        <v>6189600</v>
      </c>
    </row>
    <row r="106" spans="1:6" ht="15" customHeight="1" x14ac:dyDescent="0.2">
      <c r="A106" s="436"/>
      <c r="B106" s="444" t="s">
        <v>165</v>
      </c>
      <c r="C106" s="423">
        <f>+[10]BS17A!D1632+[10]BS17A!D1633</f>
        <v>15</v>
      </c>
      <c r="D106" s="328">
        <f>+[10]BS17A!F1632+[10]BS17A!F1633</f>
        <v>1</v>
      </c>
      <c r="E106" s="329">
        <f>+[10]BS17A!G1632+[10]BS17A!G1633</f>
        <v>0</v>
      </c>
      <c r="F106" s="330">
        <f>+[10]BS17A!V1632+[10]BS17A!V1633</f>
        <v>1510785</v>
      </c>
    </row>
    <row r="107" spans="1:6" ht="15" customHeight="1" x14ac:dyDescent="0.2">
      <c r="A107" s="472" t="s">
        <v>166</v>
      </c>
      <c r="B107" s="471" t="s">
        <v>167</v>
      </c>
      <c r="C107" s="424">
        <f>+[10]BS17!F82</f>
        <v>54</v>
      </c>
      <c r="D107" s="331">
        <f>+[10]BS17!G82</f>
        <v>0</v>
      </c>
      <c r="E107" s="332">
        <f>+[10]BS17!H82</f>
        <v>0</v>
      </c>
      <c r="F107" s="333">
        <f>+[10]BS17A!V1639</f>
        <v>11658480</v>
      </c>
    </row>
    <row r="108" spans="1:6" ht="15" customHeight="1" x14ac:dyDescent="0.2">
      <c r="A108" s="468">
        <v>2106</v>
      </c>
      <c r="B108" s="444" t="s">
        <v>168</v>
      </c>
      <c r="C108" s="423">
        <f>[10]BS17A!D1845</f>
        <v>13</v>
      </c>
      <c r="D108" s="328">
        <f>[10]BS17A!F1845</f>
        <v>0</v>
      </c>
      <c r="E108" s="329">
        <f>[10]BS17A!G1845</f>
        <v>0</v>
      </c>
      <c r="F108" s="330">
        <f>+[10]BS17A!V1845</f>
        <v>754840</v>
      </c>
    </row>
    <row r="109" spans="1:6" ht="15" customHeight="1" x14ac:dyDescent="0.2">
      <c r="A109" s="442"/>
      <c r="B109" s="441" t="s">
        <v>169</v>
      </c>
      <c r="C109" s="425">
        <f>SUM(C90:C108)-C103</f>
        <v>825</v>
      </c>
      <c r="D109" s="335">
        <f>SUM(D90:D108)-D103</f>
        <v>43</v>
      </c>
      <c r="E109" s="336">
        <f>+SUM(E90:E103)+E107+E108</f>
        <v>0</v>
      </c>
      <c r="F109" s="337">
        <f>+SUM(F90:F103)+F107+F108</f>
        <v>132428390</v>
      </c>
    </row>
    <row r="110" spans="1:6" ht="12.75" x14ac:dyDescent="0.2">
      <c r="A110" s="262"/>
      <c r="B110" s="262"/>
      <c r="C110" s="262"/>
      <c r="D110" s="262"/>
      <c r="E110" s="262"/>
      <c r="F110" s="259"/>
    </row>
    <row r="111" spans="1:6" ht="12.75" x14ac:dyDescent="0.2">
      <c r="A111" s="262"/>
      <c r="B111" s="262"/>
      <c r="C111" s="262"/>
      <c r="D111" s="262"/>
      <c r="E111" s="262"/>
      <c r="F111" s="259"/>
    </row>
    <row r="112" spans="1:6" ht="12.75" x14ac:dyDescent="0.2">
      <c r="A112" s="583" t="s">
        <v>170</v>
      </c>
      <c r="B112" s="584"/>
      <c r="C112" s="584"/>
      <c r="D112" s="584"/>
      <c r="E112" s="585"/>
      <c r="F112" s="259"/>
    </row>
    <row r="113" spans="1:6" ht="49.5" customHeight="1" x14ac:dyDescent="0.2">
      <c r="A113" s="264" t="s">
        <v>8</v>
      </c>
      <c r="B113" s="264" t="s">
        <v>9</v>
      </c>
      <c r="C113" s="524" t="s">
        <v>10</v>
      </c>
      <c r="D113" s="310" t="s">
        <v>11</v>
      </c>
      <c r="E113" s="526" t="s">
        <v>12</v>
      </c>
      <c r="F113" s="259"/>
    </row>
    <row r="114" spans="1:6" ht="15" customHeight="1" x14ac:dyDescent="0.2">
      <c r="A114" s="434" t="s">
        <v>171</v>
      </c>
      <c r="B114" s="429" t="s">
        <v>172</v>
      </c>
      <c r="C114" s="383">
        <f>+[10]BS17A!D1636</f>
        <v>83</v>
      </c>
      <c r="D114" s="338">
        <f>+[10]BS17A!U1636</f>
        <v>128940</v>
      </c>
      <c r="E114" s="339">
        <f>+[10]BS17A!V1636</f>
        <v>10702020</v>
      </c>
      <c r="F114" s="262"/>
    </row>
    <row r="115" spans="1:6" ht="15" customHeight="1" x14ac:dyDescent="0.2">
      <c r="A115" s="436" t="s">
        <v>173</v>
      </c>
      <c r="B115" s="465" t="s">
        <v>174</v>
      </c>
      <c r="C115" s="410">
        <f>+[10]BS17A!D1637</f>
        <v>4</v>
      </c>
      <c r="D115" s="340">
        <f>+[10]BS17A!U1637</f>
        <v>135670</v>
      </c>
      <c r="E115" s="315">
        <f>+[10]BS17A!V1637</f>
        <v>542680</v>
      </c>
      <c r="F115" s="262"/>
    </row>
    <row r="116" spans="1:6" ht="15" customHeight="1" x14ac:dyDescent="0.2">
      <c r="A116" s="316"/>
      <c r="B116" s="393" t="s">
        <v>175</v>
      </c>
      <c r="C116" s="316">
        <f>SUM(C114:C115)</f>
        <v>87</v>
      </c>
      <c r="D116" s="288"/>
      <c r="E116" s="317">
        <f>SUM(E114:E115)</f>
        <v>11244700</v>
      </c>
      <c r="F116" s="262"/>
    </row>
    <row r="117" spans="1:6" ht="12.75" x14ac:dyDescent="0.2">
      <c r="A117" s="262"/>
      <c r="B117" s="262"/>
      <c r="C117" s="262"/>
      <c r="D117" s="262"/>
      <c r="E117" s="262"/>
      <c r="F117" s="262"/>
    </row>
    <row r="118" spans="1:6" ht="12.75" x14ac:dyDescent="0.2">
      <c r="A118" s="262"/>
      <c r="B118" s="262"/>
      <c r="C118" s="262"/>
      <c r="D118" s="262"/>
      <c r="E118" s="262"/>
      <c r="F118" s="259"/>
    </row>
    <row r="119" spans="1:6" ht="12.75" x14ac:dyDescent="0.2">
      <c r="A119" s="608" t="s">
        <v>176</v>
      </c>
      <c r="B119" s="608"/>
      <c r="C119" s="608"/>
      <c r="D119" s="262"/>
      <c r="E119" s="262"/>
      <c r="F119" s="259"/>
    </row>
    <row r="120" spans="1:6" ht="38.25" customHeight="1" x14ac:dyDescent="0.2">
      <c r="A120" s="264" t="s">
        <v>8</v>
      </c>
      <c r="B120" s="264" t="s">
        <v>10</v>
      </c>
      <c r="C120" s="264" t="s">
        <v>12</v>
      </c>
      <c r="D120" s="262"/>
      <c r="E120" s="262"/>
      <c r="F120" s="262"/>
    </row>
    <row r="121" spans="1:6" ht="15" customHeight="1" x14ac:dyDescent="0.2">
      <c r="A121" s="341" t="s">
        <v>177</v>
      </c>
      <c r="B121" s="342" t="s">
        <v>178</v>
      </c>
      <c r="C121" s="343">
        <f>+[10]BS17A!V1871+[10]BS17A!V1889+[10]BS17A!V1914</f>
        <v>12891230</v>
      </c>
      <c r="D121" s="262"/>
      <c r="E121" s="262"/>
      <c r="F121" s="262"/>
    </row>
    <row r="122" spans="1:6" ht="12.75" x14ac:dyDescent="0.2">
      <c r="A122" s="262"/>
      <c r="B122" s="262"/>
      <c r="C122" s="262"/>
      <c r="D122" s="262"/>
      <c r="E122" s="259"/>
      <c r="F122" s="262"/>
    </row>
    <row r="123" spans="1:6" ht="12.75" x14ac:dyDescent="0.2">
      <c r="A123" s="262"/>
      <c r="B123" s="262"/>
      <c r="C123" s="262"/>
      <c r="D123" s="262"/>
      <c r="E123" s="259"/>
      <c r="F123" s="262"/>
    </row>
    <row r="124" spans="1:6" ht="12.75" x14ac:dyDescent="0.2">
      <c r="A124" s="583" t="s">
        <v>179</v>
      </c>
      <c r="B124" s="584"/>
      <c r="C124" s="584"/>
      <c r="D124" s="584"/>
      <c r="E124" s="585"/>
      <c r="F124" s="259"/>
    </row>
    <row r="125" spans="1:6" ht="45.75" customHeight="1" x14ac:dyDescent="0.2">
      <c r="A125" s="264" t="s">
        <v>8</v>
      </c>
      <c r="B125" s="264" t="s">
        <v>9</v>
      </c>
      <c r="C125" s="524" t="s">
        <v>10</v>
      </c>
      <c r="D125" s="310" t="s">
        <v>11</v>
      </c>
      <c r="E125" s="526" t="s">
        <v>12</v>
      </c>
      <c r="F125" s="259"/>
    </row>
    <row r="126" spans="1:6" ht="15" customHeight="1" x14ac:dyDescent="0.2">
      <c r="A126" s="434" t="s">
        <v>180</v>
      </c>
      <c r="B126" s="451" t="s">
        <v>181</v>
      </c>
      <c r="C126" s="383">
        <f>+[10]BS17A!$D59</f>
        <v>5958</v>
      </c>
      <c r="D126" s="275">
        <f>+[10]BS17A!$U59</f>
        <v>33020</v>
      </c>
      <c r="E126" s="344">
        <f>+[10]BS17A!$V59</f>
        <v>196733160</v>
      </c>
      <c r="F126" s="262"/>
    </row>
    <row r="127" spans="1:6" ht="15" customHeight="1" x14ac:dyDescent="0.2">
      <c r="A127" s="435" t="s">
        <v>182</v>
      </c>
      <c r="B127" s="431" t="s">
        <v>183</v>
      </c>
      <c r="C127" s="380">
        <f>+[10]BS17A!$D60</f>
        <v>0</v>
      </c>
      <c r="D127" s="270">
        <f>+[10]BS17A!$U60</f>
        <v>30400</v>
      </c>
      <c r="E127" s="345">
        <f>+[10]BS17A!$V60</f>
        <v>0</v>
      </c>
      <c r="F127" s="262"/>
    </row>
    <row r="128" spans="1:6" ht="15" customHeight="1" x14ac:dyDescent="0.2">
      <c r="A128" s="435" t="s">
        <v>184</v>
      </c>
      <c r="B128" s="431" t="s">
        <v>185</v>
      </c>
      <c r="C128" s="380">
        <f>+[10]BS17A!$D61</f>
        <v>0</v>
      </c>
      <c r="D128" s="270">
        <f>+[10]BS17A!$U61</f>
        <v>25340</v>
      </c>
      <c r="E128" s="345">
        <f>+[10]BS17A!$V61</f>
        <v>0</v>
      </c>
      <c r="F128" s="262"/>
    </row>
    <row r="129" spans="1:6" ht="15" customHeight="1" x14ac:dyDescent="0.2">
      <c r="A129" s="435" t="s">
        <v>186</v>
      </c>
      <c r="B129" s="431" t="s">
        <v>187</v>
      </c>
      <c r="C129" s="380">
        <f>SUM([10]BS17A!D62:D64)</f>
        <v>169</v>
      </c>
      <c r="D129" s="270">
        <f>+[10]BS17A!$U62</f>
        <v>137290</v>
      </c>
      <c r="E129" s="345">
        <f>SUM([10]BS17A!V62:V64)</f>
        <v>23202010</v>
      </c>
      <c r="F129" s="262"/>
    </row>
    <row r="130" spans="1:6" ht="15" customHeight="1" x14ac:dyDescent="0.2">
      <c r="A130" s="435" t="s">
        <v>188</v>
      </c>
      <c r="B130" s="431" t="s">
        <v>189</v>
      </c>
      <c r="C130" s="380">
        <f>SUM([10]BS17A!D65:D67)</f>
        <v>469</v>
      </c>
      <c r="D130" s="270">
        <f>+[10]BS17A!$U65</f>
        <v>66300</v>
      </c>
      <c r="E130" s="345">
        <f>SUM([10]BS17A!V65:V67)</f>
        <v>31094700</v>
      </c>
      <c r="F130" s="262"/>
    </row>
    <row r="131" spans="1:6" ht="15" customHeight="1" x14ac:dyDescent="0.2">
      <c r="A131" s="435" t="s">
        <v>190</v>
      </c>
      <c r="B131" s="431" t="s">
        <v>191</v>
      </c>
      <c r="C131" s="380">
        <f>+[10]BS17A!D68</f>
        <v>172</v>
      </c>
      <c r="D131" s="270">
        <f>+[10]BS17A!$U68</f>
        <v>59490</v>
      </c>
      <c r="E131" s="345">
        <f>+[10]BS17A!$V68</f>
        <v>10232280</v>
      </c>
      <c r="F131" s="262"/>
    </row>
    <row r="132" spans="1:6" ht="15" customHeight="1" x14ac:dyDescent="0.2">
      <c r="A132" s="435" t="s">
        <v>192</v>
      </c>
      <c r="B132" s="431" t="s">
        <v>193</v>
      </c>
      <c r="C132" s="380">
        <f>+[10]BS17A!$D69</f>
        <v>0</v>
      </c>
      <c r="D132" s="270">
        <f>+[10]BS17A!$U69</f>
        <v>16880</v>
      </c>
      <c r="E132" s="345">
        <f>+[10]BS17A!$V69</f>
        <v>0</v>
      </c>
      <c r="F132" s="262"/>
    </row>
    <row r="133" spans="1:6" ht="15" customHeight="1" x14ac:dyDescent="0.2">
      <c r="A133" s="435" t="s">
        <v>194</v>
      </c>
      <c r="B133" s="431" t="s">
        <v>195</v>
      </c>
      <c r="C133" s="380">
        <f>+[10]BS17A!$D70</f>
        <v>0</v>
      </c>
      <c r="D133" s="270">
        <f>+[10]BS17A!$U70</f>
        <v>26450</v>
      </c>
      <c r="E133" s="345">
        <f>+[10]BS17A!$V70</f>
        <v>0</v>
      </c>
      <c r="F133" s="262"/>
    </row>
    <row r="134" spans="1:6" ht="15" customHeight="1" x14ac:dyDescent="0.2">
      <c r="A134" s="435" t="s">
        <v>196</v>
      </c>
      <c r="B134" s="431" t="s">
        <v>197</v>
      </c>
      <c r="C134" s="380">
        <f>+[10]BS17A!$D73</f>
        <v>0</v>
      </c>
      <c r="D134" s="270">
        <f>+[10]BS17A!$U73</f>
        <v>26670</v>
      </c>
      <c r="E134" s="345">
        <f>+[10]BS17A!$V73</f>
        <v>0</v>
      </c>
      <c r="F134" s="262"/>
    </row>
    <row r="135" spans="1:6" ht="15" customHeight="1" x14ac:dyDescent="0.2">
      <c r="A135" s="435" t="s">
        <v>198</v>
      </c>
      <c r="B135" s="431" t="s">
        <v>199</v>
      </c>
      <c r="C135" s="380">
        <f>+[10]BS17A!$D71</f>
        <v>0</v>
      </c>
      <c r="D135" s="270">
        <f>+[10]BS17A!$U71</f>
        <v>27530</v>
      </c>
      <c r="E135" s="345">
        <f>+[10]BS17A!$V71</f>
        <v>0</v>
      </c>
      <c r="F135" s="262"/>
    </row>
    <row r="136" spans="1:6" ht="15" customHeight="1" x14ac:dyDescent="0.2">
      <c r="A136" s="435" t="s">
        <v>200</v>
      </c>
      <c r="B136" s="431" t="s">
        <v>201</v>
      </c>
      <c r="C136" s="380">
        <f>+[10]BS17A!$D76</f>
        <v>0</v>
      </c>
      <c r="D136" s="270">
        <f>+[10]BS17A!$U76</f>
        <v>33020</v>
      </c>
      <c r="E136" s="345">
        <f>+[10]BS17A!$V76</f>
        <v>0</v>
      </c>
      <c r="F136" s="262"/>
    </row>
    <row r="137" spans="1:6" ht="15" customHeight="1" x14ac:dyDescent="0.2">
      <c r="A137" s="435" t="s">
        <v>202</v>
      </c>
      <c r="B137" s="430" t="s">
        <v>203</v>
      </c>
      <c r="C137" s="380">
        <f>+[10]BS17A!$D79</f>
        <v>44</v>
      </c>
      <c r="D137" s="270">
        <f>+[10]BS17A!$U79</f>
        <v>6410</v>
      </c>
      <c r="E137" s="345">
        <f>+[10]BS17A!$V79</f>
        <v>282040</v>
      </c>
      <c r="F137" s="262"/>
    </row>
    <row r="138" spans="1:6" ht="15" customHeight="1" x14ac:dyDescent="0.2">
      <c r="A138" s="435" t="s">
        <v>204</v>
      </c>
      <c r="B138" s="430" t="s">
        <v>205</v>
      </c>
      <c r="C138" s="380">
        <f>+[10]BS17A!$D80</f>
        <v>0</v>
      </c>
      <c r="D138" s="270">
        <f>+[10]BS17A!$U80</f>
        <v>46280</v>
      </c>
      <c r="E138" s="345">
        <f>+[10]BS17A!$V80</f>
        <v>0</v>
      </c>
      <c r="F138" s="262"/>
    </row>
    <row r="139" spans="1:6" ht="15" customHeight="1" x14ac:dyDescent="0.2">
      <c r="A139" s="436"/>
      <c r="B139" s="469" t="s">
        <v>206</v>
      </c>
      <c r="C139" s="419">
        <f>SUM(C126:C138)</f>
        <v>6812</v>
      </c>
      <c r="D139" s="346"/>
      <c r="E139" s="347">
        <f>SUM(E126:E138)</f>
        <v>261544190</v>
      </c>
      <c r="F139" s="262"/>
    </row>
    <row r="140" spans="1:6" ht="15" customHeight="1" x14ac:dyDescent="0.2">
      <c r="A140" s="434"/>
      <c r="B140" s="470" t="s">
        <v>207</v>
      </c>
      <c r="C140" s="383"/>
      <c r="D140" s="275"/>
      <c r="E140" s="344"/>
      <c r="F140" s="262"/>
    </row>
    <row r="141" spans="1:6" ht="15" customHeight="1" x14ac:dyDescent="0.2">
      <c r="A141" s="435" t="s">
        <v>208</v>
      </c>
      <c r="B141" s="431" t="s">
        <v>209</v>
      </c>
      <c r="C141" s="380">
        <f>+[10]BS17A!$D72</f>
        <v>0</v>
      </c>
      <c r="D141" s="270">
        <f>+[10]BS17A!$U72</f>
        <v>11100</v>
      </c>
      <c r="E141" s="345">
        <f>+[10]BS17A!$V72</f>
        <v>0</v>
      </c>
      <c r="F141" s="262"/>
    </row>
    <row r="142" spans="1:6" ht="15" customHeight="1" x14ac:dyDescent="0.2">
      <c r="A142" s="435" t="s">
        <v>210</v>
      </c>
      <c r="B142" s="431" t="s">
        <v>211</v>
      </c>
      <c r="C142" s="380">
        <f>+[10]BS17A!$D74</f>
        <v>0</v>
      </c>
      <c r="D142" s="270">
        <f>+[10]BS17A!$U74</f>
        <v>11100</v>
      </c>
      <c r="E142" s="345">
        <f>+[10]BS17A!$V74</f>
        <v>0</v>
      </c>
      <c r="F142" s="262"/>
    </row>
    <row r="143" spans="1:6" ht="15" customHeight="1" x14ac:dyDescent="0.2">
      <c r="A143" s="435" t="s">
        <v>212</v>
      </c>
      <c r="B143" s="431" t="s">
        <v>213</v>
      </c>
      <c r="C143" s="380">
        <f>+[10]BS17A!$D75</f>
        <v>2</v>
      </c>
      <c r="D143" s="270">
        <f>+[10]BS17A!$U75</f>
        <v>4890</v>
      </c>
      <c r="E143" s="345">
        <f>+[10]BS17A!$V75</f>
        <v>9780</v>
      </c>
      <c r="F143" s="262"/>
    </row>
    <row r="144" spans="1:6" ht="15" customHeight="1" x14ac:dyDescent="0.2">
      <c r="A144" s="435" t="s">
        <v>214</v>
      </c>
      <c r="B144" s="431" t="s">
        <v>215</v>
      </c>
      <c r="C144" s="380">
        <f>+[10]BS17A!$D77</f>
        <v>0</v>
      </c>
      <c r="D144" s="270">
        <f>+[10]BS17A!$U77</f>
        <v>89270</v>
      </c>
      <c r="E144" s="345">
        <f>+[10]BS17A!$V77</f>
        <v>0</v>
      </c>
      <c r="F144" s="262"/>
    </row>
    <row r="145" spans="1:6" ht="15" customHeight="1" x14ac:dyDescent="0.2">
      <c r="A145" s="435" t="s">
        <v>216</v>
      </c>
      <c r="B145" s="431" t="s">
        <v>217</v>
      </c>
      <c r="C145" s="380">
        <f>+[10]BS17A!$D78</f>
        <v>0</v>
      </c>
      <c r="D145" s="270">
        <f>+[10]BS17A!$U78</f>
        <v>10540</v>
      </c>
      <c r="E145" s="345">
        <f>+[10]BS17A!$V78</f>
        <v>0</v>
      </c>
      <c r="F145" s="262"/>
    </row>
    <row r="146" spans="1:6" ht="15" customHeight="1" x14ac:dyDescent="0.2">
      <c r="A146" s="435" t="s">
        <v>218</v>
      </c>
      <c r="B146" s="431" t="s">
        <v>219</v>
      </c>
      <c r="C146" s="380">
        <f>+[10]BS17A!$D81</f>
        <v>0</v>
      </c>
      <c r="D146" s="270">
        <f>+[10]BS17A!$U81</f>
        <v>8120</v>
      </c>
      <c r="E146" s="345">
        <f>+[10]BS17A!$V81</f>
        <v>0</v>
      </c>
      <c r="F146" s="262"/>
    </row>
    <row r="147" spans="1:6" ht="15" customHeight="1" x14ac:dyDescent="0.2">
      <c r="A147" s="436"/>
      <c r="B147" s="469" t="s">
        <v>220</v>
      </c>
      <c r="C147" s="419">
        <f>SUM(C141:C146)</f>
        <v>2</v>
      </c>
      <c r="D147" s="346"/>
      <c r="E147" s="347">
        <f>SUM(E141:E146)</f>
        <v>9780</v>
      </c>
      <c r="F147" s="262"/>
    </row>
    <row r="148" spans="1:6" ht="15" customHeight="1" x14ac:dyDescent="0.2">
      <c r="A148" s="442"/>
      <c r="B148" s="441" t="s">
        <v>221</v>
      </c>
      <c r="C148" s="279">
        <f>+C139+C147</f>
        <v>6814</v>
      </c>
      <c r="D148" s="348"/>
      <c r="E148" s="349">
        <f>+E139+E147</f>
        <v>261553970</v>
      </c>
      <c r="F148" s="262"/>
    </row>
    <row r="149" spans="1:6" ht="12.75" x14ac:dyDescent="0.2">
      <c r="A149" s="262"/>
      <c r="B149" s="262"/>
      <c r="C149" s="262"/>
      <c r="D149" s="262"/>
      <c r="E149" s="262"/>
      <c r="F149" s="262"/>
    </row>
    <row r="150" spans="1:6" ht="12.75" x14ac:dyDescent="0.2">
      <c r="A150" s="262"/>
      <c r="B150" s="262"/>
      <c r="C150" s="262"/>
      <c r="D150" s="262"/>
      <c r="E150" s="262"/>
      <c r="F150" s="259"/>
    </row>
    <row r="151" spans="1:6" ht="12.75" x14ac:dyDescent="0.2">
      <c r="A151" s="597" t="s">
        <v>222</v>
      </c>
      <c r="B151" s="598"/>
      <c r="C151" s="598"/>
      <c r="D151" s="598"/>
      <c r="E151" s="599"/>
      <c r="F151" s="259"/>
    </row>
    <row r="152" spans="1:6" ht="47.25" customHeight="1" x14ac:dyDescent="0.2">
      <c r="A152" s="264" t="s">
        <v>8</v>
      </c>
      <c r="B152" s="264" t="s">
        <v>9</v>
      </c>
      <c r="C152" s="524" t="s">
        <v>10</v>
      </c>
      <c r="D152" s="310" t="s">
        <v>11</v>
      </c>
      <c r="E152" s="526" t="s">
        <v>12</v>
      </c>
      <c r="F152" s="262"/>
    </row>
    <row r="153" spans="1:6" ht="15" customHeight="1" x14ac:dyDescent="0.2">
      <c r="A153" s="434" t="s">
        <v>223</v>
      </c>
      <c r="B153" s="451" t="s">
        <v>224</v>
      </c>
      <c r="C153" s="383">
        <f>+[10]BS17A!D43</f>
        <v>305</v>
      </c>
      <c r="D153" s="275">
        <f>[10]BS17A!U43</f>
        <v>760</v>
      </c>
      <c r="E153" s="344">
        <f>+[10]BS17A!V43</f>
        <v>231800</v>
      </c>
      <c r="F153" s="262"/>
    </row>
    <row r="154" spans="1:6" ht="15" customHeight="1" x14ac:dyDescent="0.2">
      <c r="A154" s="436" t="s">
        <v>225</v>
      </c>
      <c r="B154" s="432" t="s">
        <v>226</v>
      </c>
      <c r="C154" s="395">
        <f>+[10]BS17A!D44+[10]BS17A!D45</f>
        <v>0</v>
      </c>
      <c r="D154" s="277">
        <f>[10]BS17A!U44</f>
        <v>100</v>
      </c>
      <c r="E154" s="350">
        <f>+[10]BS17A!V44+[10]BS17A!V45</f>
        <v>0</v>
      </c>
      <c r="F154" s="262"/>
    </row>
    <row r="155" spans="1:6" ht="15" customHeight="1" x14ac:dyDescent="0.2">
      <c r="A155" s="442"/>
      <c r="B155" s="441" t="s">
        <v>227</v>
      </c>
      <c r="C155" s="279">
        <f>SUM(C153:C154)</f>
        <v>305</v>
      </c>
      <c r="D155" s="348"/>
      <c r="E155" s="349">
        <f>SUM(E153:E154)</f>
        <v>231800</v>
      </c>
      <c r="F155" s="262"/>
    </row>
    <row r="156" spans="1:6" ht="12.75" x14ac:dyDescent="0.2">
      <c r="A156" s="262"/>
      <c r="B156" s="262"/>
      <c r="C156" s="262"/>
      <c r="D156" s="262"/>
      <c r="E156" s="262"/>
      <c r="F156" s="262"/>
    </row>
    <row r="157" spans="1:6" ht="12.75" x14ac:dyDescent="0.2">
      <c r="A157" s="262"/>
      <c r="B157" s="262"/>
      <c r="C157" s="262"/>
      <c r="D157" s="262"/>
      <c r="E157" s="262"/>
      <c r="F157" s="262"/>
    </row>
    <row r="158" spans="1:6" ht="18" customHeight="1" x14ac:dyDescent="0.2">
      <c r="A158" s="597" t="s">
        <v>228</v>
      </c>
      <c r="B158" s="598"/>
      <c r="C158" s="598"/>
      <c r="D158" s="598"/>
      <c r="E158" s="599"/>
      <c r="F158" s="259"/>
    </row>
    <row r="159" spans="1:6" ht="47.25" customHeight="1" x14ac:dyDescent="0.2">
      <c r="A159" s="264" t="s">
        <v>8</v>
      </c>
      <c r="B159" s="264" t="s">
        <v>9</v>
      </c>
      <c r="C159" s="524" t="s">
        <v>10</v>
      </c>
      <c r="D159" s="310" t="s">
        <v>11</v>
      </c>
      <c r="E159" s="526" t="s">
        <v>12</v>
      </c>
      <c r="F159" s="262"/>
    </row>
    <row r="160" spans="1:6" ht="15" customHeight="1" x14ac:dyDescent="0.2">
      <c r="A160" s="434" t="s">
        <v>229</v>
      </c>
      <c r="B160" s="429" t="s">
        <v>230</v>
      </c>
      <c r="C160" s="414">
        <f>+[10]BS17A!$D1481</f>
        <v>0</v>
      </c>
      <c r="D160" s="275">
        <f>+[10]BS17A!$U1481</f>
        <v>41580</v>
      </c>
      <c r="E160" s="344">
        <f>+[10]BS17A!$V1481</f>
        <v>0</v>
      </c>
      <c r="F160" s="262"/>
    </row>
    <row r="161" spans="1:6" ht="15" customHeight="1" x14ac:dyDescent="0.2">
      <c r="A161" s="435" t="s">
        <v>231</v>
      </c>
      <c r="B161" s="431" t="s">
        <v>232</v>
      </c>
      <c r="C161" s="418">
        <f>+[10]BS17A!$D1482</f>
        <v>0</v>
      </c>
      <c r="D161" s="270">
        <f>+[10]BS17A!$U1482</f>
        <v>26150</v>
      </c>
      <c r="E161" s="345">
        <f>+[10]BS17A!$V1482</f>
        <v>0</v>
      </c>
      <c r="F161" s="262"/>
    </row>
    <row r="162" spans="1:6" ht="15" customHeight="1" x14ac:dyDescent="0.2">
      <c r="A162" s="435" t="s">
        <v>233</v>
      </c>
      <c r="B162" s="430" t="s">
        <v>234</v>
      </c>
      <c r="C162" s="418">
        <f>+[10]BS17A!$D1483</f>
        <v>0</v>
      </c>
      <c r="D162" s="270">
        <f>+[10]BS17A!$U1483</f>
        <v>26930</v>
      </c>
      <c r="E162" s="345">
        <f>+[10]BS17A!$V1483</f>
        <v>0</v>
      </c>
      <c r="F162" s="262"/>
    </row>
    <row r="163" spans="1:6" ht="15" customHeight="1" x14ac:dyDescent="0.2">
      <c r="A163" s="435" t="s">
        <v>235</v>
      </c>
      <c r="B163" s="431" t="s">
        <v>236</v>
      </c>
      <c r="C163" s="418">
        <f>+[10]BS17A!$D1484</f>
        <v>0</v>
      </c>
      <c r="D163" s="270">
        <f>+[10]BS17A!$U1484</f>
        <v>808040</v>
      </c>
      <c r="E163" s="345">
        <f>+[10]BS17A!$V1484</f>
        <v>0</v>
      </c>
      <c r="F163" s="262"/>
    </row>
    <row r="164" spans="1:6" ht="15" customHeight="1" x14ac:dyDescent="0.2">
      <c r="A164" s="435" t="s">
        <v>237</v>
      </c>
      <c r="B164" s="431" t="s">
        <v>238</v>
      </c>
      <c r="C164" s="418">
        <f>+[10]BS17A!$D1485</f>
        <v>0</v>
      </c>
      <c r="D164" s="270">
        <f>+[10]BS17A!$U1485</f>
        <v>367020</v>
      </c>
      <c r="E164" s="345">
        <f>+[10]BS17A!$V1485</f>
        <v>0</v>
      </c>
      <c r="F164" s="262"/>
    </row>
    <row r="165" spans="1:6" ht="15" customHeight="1" x14ac:dyDescent="0.2">
      <c r="A165" s="435" t="s">
        <v>239</v>
      </c>
      <c r="B165" s="431" t="s">
        <v>240</v>
      </c>
      <c r="C165" s="418">
        <f>+[10]BS17A!$D1486</f>
        <v>0</v>
      </c>
      <c r="D165" s="270">
        <f>+[10]BS17A!$U1486</f>
        <v>561210</v>
      </c>
      <c r="E165" s="345">
        <f>+[10]BS17A!$V1486</f>
        <v>0</v>
      </c>
      <c r="F165" s="262"/>
    </row>
    <row r="166" spans="1:6" ht="15" customHeight="1" x14ac:dyDescent="0.2">
      <c r="A166" s="467" t="s">
        <v>241</v>
      </c>
      <c r="B166" s="465" t="s">
        <v>242</v>
      </c>
      <c r="C166" s="418">
        <f>+[10]BS17A!$D1487</f>
        <v>0</v>
      </c>
      <c r="D166" s="270">
        <f>+[10]BS17A!$U1487</f>
        <v>50600</v>
      </c>
      <c r="E166" s="345">
        <f>+[10]BS17A!$V1487</f>
        <v>0</v>
      </c>
      <c r="F166" s="262"/>
    </row>
    <row r="167" spans="1:6" ht="15" customHeight="1" x14ac:dyDescent="0.2">
      <c r="A167" s="468">
        <v>1901029</v>
      </c>
      <c r="B167" s="466" t="s">
        <v>243</v>
      </c>
      <c r="C167" s="415">
        <f>+[10]BS17A!$D1488</f>
        <v>0</v>
      </c>
      <c r="D167" s="277">
        <f>+[10]BS17A!$U1488</f>
        <v>657830</v>
      </c>
      <c r="E167" s="350">
        <f>+[10]BS17A!$V1488</f>
        <v>0</v>
      </c>
      <c r="F167" s="262"/>
    </row>
    <row r="168" spans="1:6" ht="15" customHeight="1" x14ac:dyDescent="0.2">
      <c r="A168" s="334"/>
      <c r="B168" s="351" t="s">
        <v>244</v>
      </c>
      <c r="C168" s="352">
        <f>SUM(C160:C167)</f>
        <v>0</v>
      </c>
      <c r="D168" s="353"/>
      <c r="E168" s="354">
        <f>SUM(E160:E167)</f>
        <v>0</v>
      </c>
      <c r="F168" s="262"/>
    </row>
    <row r="169" spans="1:6" ht="12.75" x14ac:dyDescent="0.2">
      <c r="A169" s="262"/>
      <c r="B169" s="262"/>
      <c r="C169" s="262"/>
      <c r="D169" s="262"/>
      <c r="E169" s="262"/>
      <c r="F169" s="262"/>
    </row>
    <row r="170" spans="1:6" ht="18" customHeight="1" x14ac:dyDescent="0.2">
      <c r="A170" s="262"/>
      <c r="B170" s="262"/>
      <c r="C170" s="262"/>
      <c r="D170" s="262"/>
      <c r="E170" s="262"/>
      <c r="F170" s="262"/>
    </row>
    <row r="171" spans="1:6" ht="18" customHeight="1" x14ac:dyDescent="0.2">
      <c r="A171" s="583" t="s">
        <v>245</v>
      </c>
      <c r="B171" s="584"/>
      <c r="C171" s="584"/>
      <c r="D171" s="584"/>
      <c r="E171" s="585"/>
      <c r="F171" s="259"/>
    </row>
    <row r="172" spans="1:6" ht="46.5" customHeight="1" x14ac:dyDescent="0.2">
      <c r="A172" s="264" t="s">
        <v>8</v>
      </c>
      <c r="B172" s="264" t="s">
        <v>9</v>
      </c>
      <c r="C172" s="524" t="s">
        <v>10</v>
      </c>
      <c r="D172" s="310" t="s">
        <v>11</v>
      </c>
      <c r="E172" s="526" t="s">
        <v>12</v>
      </c>
      <c r="F172" s="262"/>
    </row>
    <row r="173" spans="1:6" ht="12.75" customHeight="1" x14ac:dyDescent="0.2">
      <c r="A173" s="463">
        <v>1101004</v>
      </c>
      <c r="B173" s="458" t="s">
        <v>246</v>
      </c>
      <c r="C173" s="383">
        <f>+[10]BS17A!$D805</f>
        <v>8</v>
      </c>
      <c r="D173" s="275">
        <f>+[10]BS17A!$U805</f>
        <v>14260</v>
      </c>
      <c r="E173" s="344">
        <f>+[10]BS17A!$V805</f>
        <v>114080</v>
      </c>
      <c r="F173" s="262"/>
    </row>
    <row r="174" spans="1:6" ht="12.75" customHeight="1" x14ac:dyDescent="0.2">
      <c r="A174" s="457">
        <v>1101006</v>
      </c>
      <c r="B174" s="459" t="s">
        <v>247</v>
      </c>
      <c r="C174" s="380">
        <f>+[10]BS17A!$D806</f>
        <v>0</v>
      </c>
      <c r="D174" s="270">
        <f>+[10]BS17A!$U806</f>
        <v>11400</v>
      </c>
      <c r="E174" s="345">
        <f>+[10]BS17A!$V806</f>
        <v>0</v>
      </c>
      <c r="F174" s="262"/>
    </row>
    <row r="175" spans="1:6" ht="24.75" customHeight="1" x14ac:dyDescent="0.2">
      <c r="A175" s="457" t="s">
        <v>248</v>
      </c>
      <c r="B175" s="460" t="s">
        <v>249</v>
      </c>
      <c r="C175" s="380">
        <f>+[10]BS17A!$D1197</f>
        <v>257</v>
      </c>
      <c r="D175" s="270">
        <f>+[10]BS17A!$U1197</f>
        <v>4880</v>
      </c>
      <c r="E175" s="345">
        <f>+[10]BS17A!$V1197</f>
        <v>1254160</v>
      </c>
      <c r="F175" s="262"/>
    </row>
    <row r="176" spans="1:6" ht="24.75" customHeight="1" x14ac:dyDescent="0.2">
      <c r="A176" s="457" t="s">
        <v>250</v>
      </c>
      <c r="B176" s="460" t="s">
        <v>251</v>
      </c>
      <c r="C176" s="380">
        <f>+[10]BS17A!$D1198</f>
        <v>14</v>
      </c>
      <c r="D176" s="270">
        <f>+[10]BS17A!$U1198</f>
        <v>13770</v>
      </c>
      <c r="E176" s="345">
        <f>+[10]BS17A!$V1198</f>
        <v>192780</v>
      </c>
      <c r="F176" s="262"/>
    </row>
    <row r="177" spans="1:6" ht="24.75" customHeight="1" x14ac:dyDescent="0.2">
      <c r="A177" s="457" t="s">
        <v>252</v>
      </c>
      <c r="B177" s="460" t="s">
        <v>253</v>
      </c>
      <c r="C177" s="380">
        <f>+[10]BS17A!$D1199</f>
        <v>41</v>
      </c>
      <c r="D177" s="270">
        <f>+[10]BS17A!$U1199</f>
        <v>23350</v>
      </c>
      <c r="E177" s="345">
        <f>+[10]BS17A!$V1199</f>
        <v>957350</v>
      </c>
      <c r="F177" s="262"/>
    </row>
    <row r="178" spans="1:6" ht="12.75" customHeight="1" x14ac:dyDescent="0.2">
      <c r="A178" s="457" t="s">
        <v>254</v>
      </c>
      <c r="B178" s="460" t="s">
        <v>255</v>
      </c>
      <c r="C178" s="380">
        <f>+[10]BS17A!$D1200</f>
        <v>0</v>
      </c>
      <c r="D178" s="270">
        <f>+[10]BS17A!$U1200</f>
        <v>44580</v>
      </c>
      <c r="E178" s="345">
        <f>+[10]BS17A!$V1200</f>
        <v>0</v>
      </c>
      <c r="F178" s="262"/>
    </row>
    <row r="179" spans="1:6" ht="12.75" customHeight="1" x14ac:dyDescent="0.2">
      <c r="A179" s="457" t="s">
        <v>256</v>
      </c>
      <c r="B179" s="460" t="s">
        <v>257</v>
      </c>
      <c r="C179" s="380">
        <f>+[10]BS17A!$D1201</f>
        <v>193</v>
      </c>
      <c r="D179" s="270">
        <f>+[10]BS17A!$U1201</f>
        <v>49690</v>
      </c>
      <c r="E179" s="345">
        <f>+[10]BS17A!$V1201</f>
        <v>9590170</v>
      </c>
      <c r="F179" s="262"/>
    </row>
    <row r="180" spans="1:6" ht="24.75" customHeight="1" x14ac:dyDescent="0.2">
      <c r="A180" s="457" t="s">
        <v>258</v>
      </c>
      <c r="B180" s="460" t="s">
        <v>259</v>
      </c>
      <c r="C180" s="380">
        <f>+[10]BS17A!$D1202</f>
        <v>0</v>
      </c>
      <c r="D180" s="270">
        <f>+[10]BS17A!$U1202</f>
        <v>27870</v>
      </c>
      <c r="E180" s="345">
        <f>+[10]BS17A!$V1202</f>
        <v>0</v>
      </c>
      <c r="F180" s="262"/>
    </row>
    <row r="181" spans="1:6" ht="12.75" customHeight="1" x14ac:dyDescent="0.2">
      <c r="A181" s="457" t="s">
        <v>260</v>
      </c>
      <c r="B181" s="461" t="s">
        <v>261</v>
      </c>
      <c r="C181" s="380">
        <f>+[10]BS17A!$D1203</f>
        <v>0</v>
      </c>
      <c r="D181" s="270">
        <f>+[10]BS17A!$U1203</f>
        <v>215630</v>
      </c>
      <c r="E181" s="345">
        <f>+[10]BS17A!$V1203</f>
        <v>0</v>
      </c>
      <c r="F181" s="262"/>
    </row>
    <row r="182" spans="1:6" ht="12.75" customHeight="1" x14ac:dyDescent="0.2">
      <c r="A182" s="457" t="s">
        <v>262</v>
      </c>
      <c r="B182" s="460" t="s">
        <v>263</v>
      </c>
      <c r="C182" s="380">
        <f>+[10]BS17A!$D1204</f>
        <v>0</v>
      </c>
      <c r="D182" s="270">
        <f>+[10]BS17A!$U1204</f>
        <v>245140</v>
      </c>
      <c r="E182" s="345">
        <f>+[10]BS17A!$V1204</f>
        <v>0</v>
      </c>
      <c r="F182" s="262"/>
    </row>
    <row r="183" spans="1:6" ht="12.75" customHeight="1" x14ac:dyDescent="0.2">
      <c r="A183" s="457" t="s">
        <v>264</v>
      </c>
      <c r="B183" s="460" t="s">
        <v>265</v>
      </c>
      <c r="C183" s="380">
        <f>+[10]BS17A!$D1205</f>
        <v>0</v>
      </c>
      <c r="D183" s="270">
        <f>+[10]BS17A!$U1205</f>
        <v>199900</v>
      </c>
      <c r="E183" s="345">
        <f>+[10]BS17A!$V1205</f>
        <v>0</v>
      </c>
      <c r="F183" s="262"/>
    </row>
    <row r="184" spans="1:6" ht="24.75" customHeight="1" x14ac:dyDescent="0.2">
      <c r="A184" s="457" t="s">
        <v>266</v>
      </c>
      <c r="B184" s="461" t="s">
        <v>267</v>
      </c>
      <c r="C184" s="380">
        <f>+[10]BS17A!$D1206</f>
        <v>0</v>
      </c>
      <c r="D184" s="270">
        <f>+[10]BS17A!$U1206</f>
        <v>256770</v>
      </c>
      <c r="E184" s="345">
        <f>+[10]BS17A!$V1206</f>
        <v>0</v>
      </c>
      <c r="F184" s="262"/>
    </row>
    <row r="185" spans="1:6" ht="24.75" customHeight="1" x14ac:dyDescent="0.2">
      <c r="A185" s="457" t="s">
        <v>268</v>
      </c>
      <c r="B185" s="461" t="s">
        <v>269</v>
      </c>
      <c r="C185" s="380">
        <f>+[10]BS17A!$D1207</f>
        <v>0</v>
      </c>
      <c r="D185" s="270">
        <f>+[10]BS17A!$U1207</f>
        <v>262730</v>
      </c>
      <c r="E185" s="345">
        <f>+[10]BS17A!$V1207</f>
        <v>0</v>
      </c>
      <c r="F185" s="262"/>
    </row>
    <row r="186" spans="1:6" ht="24.75" customHeight="1" x14ac:dyDescent="0.2">
      <c r="A186" s="457" t="s">
        <v>270</v>
      </c>
      <c r="B186" s="461" t="s">
        <v>271</v>
      </c>
      <c r="C186" s="380">
        <f>+[10]BS17A!$D1208</f>
        <v>0</v>
      </c>
      <c r="D186" s="270">
        <f>+[10]BS17A!$U1208</f>
        <v>222180</v>
      </c>
      <c r="E186" s="345">
        <f>+[10]BS17A!$V1208</f>
        <v>0</v>
      </c>
      <c r="F186" s="262"/>
    </row>
    <row r="187" spans="1:6" ht="12.75" customHeight="1" x14ac:dyDescent="0.2">
      <c r="A187" s="457" t="s">
        <v>272</v>
      </c>
      <c r="B187" s="461" t="s">
        <v>273</v>
      </c>
      <c r="C187" s="380">
        <f>+[10]BS17A!$D1209</f>
        <v>0</v>
      </c>
      <c r="D187" s="270">
        <f>+[10]BS17A!$U1209</f>
        <v>237160</v>
      </c>
      <c r="E187" s="345">
        <f>+[10]BS17A!$V1209</f>
        <v>0</v>
      </c>
      <c r="F187" s="262"/>
    </row>
    <row r="188" spans="1:6" ht="12.75" customHeight="1" x14ac:dyDescent="0.2">
      <c r="A188" s="457" t="s">
        <v>274</v>
      </c>
      <c r="B188" s="461" t="s">
        <v>275</v>
      </c>
      <c r="C188" s="380">
        <f>+[10]BS17A!$D1210</f>
        <v>0</v>
      </c>
      <c r="D188" s="270">
        <f>+[10]BS17A!$U1210</f>
        <v>283580</v>
      </c>
      <c r="E188" s="345">
        <f>+[10]BS17A!$V1210</f>
        <v>0</v>
      </c>
      <c r="F188" s="262"/>
    </row>
    <row r="189" spans="1:6" ht="24.75" customHeight="1" x14ac:dyDescent="0.2">
      <c r="A189" s="457" t="s">
        <v>276</v>
      </c>
      <c r="B189" s="460" t="s">
        <v>277</v>
      </c>
      <c r="C189" s="380">
        <f>+[10]BS17A!$D1211</f>
        <v>0</v>
      </c>
      <c r="D189" s="270">
        <f>+[10]BS17A!$U1211</f>
        <v>251470</v>
      </c>
      <c r="E189" s="345">
        <f>+[10]BS17A!$V1211</f>
        <v>0</v>
      </c>
      <c r="F189" s="262"/>
    </row>
    <row r="190" spans="1:6" ht="24.75" customHeight="1" x14ac:dyDescent="0.2">
      <c r="A190" s="457" t="s">
        <v>278</v>
      </c>
      <c r="B190" s="461" t="s">
        <v>279</v>
      </c>
      <c r="C190" s="380">
        <f>+[10]BS17A!$D1212</f>
        <v>0</v>
      </c>
      <c r="D190" s="270">
        <f>+[10]BS17A!$U1212</f>
        <v>1840310</v>
      </c>
      <c r="E190" s="345">
        <f>+[10]BS17A!$V1212</f>
        <v>0</v>
      </c>
      <c r="F190" s="262"/>
    </row>
    <row r="191" spans="1:6" ht="12.75" customHeight="1" x14ac:dyDescent="0.2">
      <c r="A191" s="457" t="s">
        <v>280</v>
      </c>
      <c r="B191" s="461" t="s">
        <v>281</v>
      </c>
      <c r="C191" s="380">
        <f>+[10]BS17A!$D1213</f>
        <v>0</v>
      </c>
      <c r="D191" s="270">
        <f>+[10]BS17A!$U1213</f>
        <v>1149460</v>
      </c>
      <c r="E191" s="345">
        <f>+[10]BS17A!$V1213</f>
        <v>0</v>
      </c>
      <c r="F191" s="262"/>
    </row>
    <row r="192" spans="1:6" ht="12.75" customHeight="1" x14ac:dyDescent="0.2">
      <c r="A192" s="435" t="s">
        <v>282</v>
      </c>
      <c r="B192" s="461" t="s">
        <v>283</v>
      </c>
      <c r="C192" s="380">
        <f>+[10]BS17A!$D1214</f>
        <v>0</v>
      </c>
      <c r="D192" s="270">
        <f>+[10]BS17A!$U1214</f>
        <v>1112540</v>
      </c>
      <c r="E192" s="345">
        <f>+[10]BS17A!$V1214</f>
        <v>0</v>
      </c>
      <c r="F192" s="262"/>
    </row>
    <row r="193" spans="1:6" ht="24.75" customHeight="1" x14ac:dyDescent="0.2">
      <c r="A193" s="457" t="s">
        <v>284</v>
      </c>
      <c r="B193" s="461" t="s">
        <v>285</v>
      </c>
      <c r="C193" s="380">
        <f>+[10]BS17A!$D1215</f>
        <v>0</v>
      </c>
      <c r="D193" s="270">
        <f>+[10]BS17A!$U1215</f>
        <v>1165530</v>
      </c>
      <c r="E193" s="345">
        <f>+[10]BS17A!$V1215</f>
        <v>0</v>
      </c>
      <c r="F193" s="262"/>
    </row>
    <row r="194" spans="1:6" ht="12.75" customHeight="1" x14ac:dyDescent="0.2">
      <c r="A194" s="435" t="s">
        <v>286</v>
      </c>
      <c r="B194" s="461" t="s">
        <v>287</v>
      </c>
      <c r="C194" s="380">
        <f>+[10]BS17A!$D1216</f>
        <v>0</v>
      </c>
      <c r="D194" s="270">
        <f>+[10]BS17A!$U1216</f>
        <v>164930</v>
      </c>
      <c r="E194" s="345">
        <f>+[10]BS17A!$V1216</f>
        <v>0</v>
      </c>
      <c r="F194" s="262"/>
    </row>
    <row r="195" spans="1:6" ht="12.75" customHeight="1" x14ac:dyDescent="0.2">
      <c r="A195" s="435" t="s">
        <v>288</v>
      </c>
      <c r="B195" s="461" t="s">
        <v>289</v>
      </c>
      <c r="C195" s="380">
        <f>+[10]BS17A!$D1217</f>
        <v>0</v>
      </c>
      <c r="D195" s="270">
        <f>+[10]BS17A!$U1217</f>
        <v>376370</v>
      </c>
      <c r="E195" s="345">
        <f>+[10]BS17A!$V1217</f>
        <v>0</v>
      </c>
      <c r="F195" s="262"/>
    </row>
    <row r="196" spans="1:6" ht="12.75" customHeight="1" x14ac:dyDescent="0.2">
      <c r="A196" s="457" t="s">
        <v>290</v>
      </c>
      <c r="B196" s="461" t="s">
        <v>291</v>
      </c>
      <c r="C196" s="380">
        <f>+[10]BS17A!$D1218</f>
        <v>0</v>
      </c>
      <c r="D196" s="270">
        <f>+[10]BS17A!$U1218</f>
        <v>139530</v>
      </c>
      <c r="E196" s="345">
        <f>+[10]BS17A!$V1218</f>
        <v>0</v>
      </c>
      <c r="F196" s="262"/>
    </row>
    <row r="197" spans="1:6" ht="12.75" customHeight="1" x14ac:dyDescent="0.2">
      <c r="A197" s="457" t="s">
        <v>292</v>
      </c>
      <c r="B197" s="461" t="s">
        <v>293</v>
      </c>
      <c r="C197" s="380">
        <f>+[10]BS17A!$D1219</f>
        <v>0</v>
      </c>
      <c r="D197" s="270">
        <f>+[10]BS17A!$U1219</f>
        <v>1130520</v>
      </c>
      <c r="E197" s="345">
        <f>+[10]BS17A!$V1219</f>
        <v>0</v>
      </c>
      <c r="F197" s="262"/>
    </row>
    <row r="198" spans="1:6" ht="12.75" customHeight="1" x14ac:dyDescent="0.2">
      <c r="A198" s="457" t="s">
        <v>294</v>
      </c>
      <c r="B198" s="461" t="s">
        <v>295</v>
      </c>
      <c r="C198" s="380">
        <f>+[10]BS17A!$D1220</f>
        <v>0</v>
      </c>
      <c r="D198" s="270">
        <f>+[10]BS17A!$U1220</f>
        <v>1130520</v>
      </c>
      <c r="E198" s="345">
        <f>+[10]BS17A!$V1220</f>
        <v>0</v>
      </c>
      <c r="F198" s="262"/>
    </row>
    <row r="199" spans="1:6" ht="12.75" customHeight="1" x14ac:dyDescent="0.2">
      <c r="A199" s="457">
        <v>1801001</v>
      </c>
      <c r="B199" s="459" t="s">
        <v>296</v>
      </c>
      <c r="C199" s="380">
        <f>+[10]BS17A!$D1354</f>
        <v>60</v>
      </c>
      <c r="D199" s="270">
        <f>+[10]BS17A!$U1354</f>
        <v>33720</v>
      </c>
      <c r="E199" s="345">
        <f>+[10]BS17A!$V1354</f>
        <v>2023200</v>
      </c>
      <c r="F199" s="262"/>
    </row>
    <row r="200" spans="1:6" ht="12.75" customHeight="1" x14ac:dyDescent="0.2">
      <c r="A200" s="457">
        <v>1801003</v>
      </c>
      <c r="B200" s="461" t="s">
        <v>297</v>
      </c>
      <c r="C200" s="380">
        <f>+[10]BS17A!$D1355</f>
        <v>0</v>
      </c>
      <c r="D200" s="270">
        <f>+[10]BS17A!$U1355</f>
        <v>40670</v>
      </c>
      <c r="E200" s="345">
        <f>+[10]BS17A!$V1355</f>
        <v>0</v>
      </c>
      <c r="F200" s="262"/>
    </row>
    <row r="201" spans="1:6" ht="12.75" customHeight="1" x14ac:dyDescent="0.2">
      <c r="A201" s="457">
        <v>1801006</v>
      </c>
      <c r="B201" s="459" t="s">
        <v>298</v>
      </c>
      <c r="C201" s="380">
        <f>+[10]BS17A!$D1356</f>
        <v>9</v>
      </c>
      <c r="D201" s="270">
        <f>+[10]BS17A!$U1356</f>
        <v>43320</v>
      </c>
      <c r="E201" s="345">
        <f>+[10]BS17A!$V1356</f>
        <v>389880</v>
      </c>
      <c r="F201" s="262"/>
    </row>
    <row r="202" spans="1:6" ht="24.75" customHeight="1" x14ac:dyDescent="0.2">
      <c r="A202" s="457" t="s">
        <v>299</v>
      </c>
      <c r="B202" s="459" t="s">
        <v>300</v>
      </c>
      <c r="C202" s="380">
        <f>[10]BS17A!D1036</f>
        <v>0</v>
      </c>
      <c r="D202" s="270">
        <f>[10]BS17A!U1036</f>
        <v>9120</v>
      </c>
      <c r="E202" s="345">
        <f>[10]BS17A!V1036</f>
        <v>0</v>
      </c>
      <c r="F202" s="262"/>
    </row>
    <row r="203" spans="1:6" ht="24.75" customHeight="1" x14ac:dyDescent="0.2">
      <c r="A203" s="464" t="s">
        <v>301</v>
      </c>
      <c r="B203" s="462" t="s">
        <v>302</v>
      </c>
      <c r="C203" s="417">
        <f>[10]BS17A!D807</f>
        <v>0</v>
      </c>
      <c r="D203" s="355">
        <f>[10]BS17A!U807</f>
        <v>386950</v>
      </c>
      <c r="E203" s="356">
        <f>[10]BS17A!V807</f>
        <v>0</v>
      </c>
      <c r="F203" s="262"/>
    </row>
    <row r="204" spans="1:6" ht="17.25" customHeight="1" x14ac:dyDescent="0.2">
      <c r="A204" s="442"/>
      <c r="B204" s="441" t="s">
        <v>303</v>
      </c>
      <c r="C204" s="279">
        <f>SUM(C173:C203)</f>
        <v>582</v>
      </c>
      <c r="D204" s="348"/>
      <c r="E204" s="349">
        <f>SUM(E173:E203)</f>
        <v>14521620</v>
      </c>
      <c r="F204" s="262"/>
    </row>
    <row r="205" spans="1:6" ht="21.75" customHeight="1" x14ac:dyDescent="0.2">
      <c r="A205" s="262"/>
      <c r="B205" s="262"/>
      <c r="C205" s="262"/>
      <c r="D205" s="262"/>
      <c r="E205" s="262"/>
      <c r="F205" s="262"/>
    </row>
    <row r="206" spans="1:6" ht="19.5" customHeight="1" x14ac:dyDescent="0.2">
      <c r="A206" s="262"/>
      <c r="B206" s="262"/>
      <c r="C206" s="262"/>
      <c r="D206" s="262"/>
      <c r="E206" s="262"/>
      <c r="F206" s="262"/>
    </row>
    <row r="207" spans="1:6" ht="18" customHeight="1" x14ac:dyDescent="0.2">
      <c r="A207" s="583" t="s">
        <v>304</v>
      </c>
      <c r="B207" s="584"/>
      <c r="C207" s="584"/>
      <c r="D207" s="584"/>
      <c r="E207" s="585"/>
      <c r="F207" s="259"/>
    </row>
    <row r="208" spans="1:6" ht="39.75" customHeight="1" x14ac:dyDescent="0.2">
      <c r="A208" s="264" t="s">
        <v>8</v>
      </c>
      <c r="B208" s="264" t="s">
        <v>9</v>
      </c>
      <c r="C208" s="524" t="s">
        <v>10</v>
      </c>
      <c r="D208" s="310" t="s">
        <v>11</v>
      </c>
      <c r="E208" s="526" t="s">
        <v>12</v>
      </c>
      <c r="F208" s="259"/>
    </row>
    <row r="209" spans="1:6" ht="12.75" customHeight="1" x14ac:dyDescent="0.2">
      <c r="A209" s="434" t="s">
        <v>305</v>
      </c>
      <c r="B209" s="451" t="s">
        <v>306</v>
      </c>
      <c r="C209" s="383">
        <f>+[10]BS17A!$D18</f>
        <v>0</v>
      </c>
      <c r="D209" s="275">
        <f>+[10]BS17A!$U18</f>
        <v>14110</v>
      </c>
      <c r="E209" s="344">
        <f>+[10]BS17A!$V18</f>
        <v>0</v>
      </c>
      <c r="F209" s="262"/>
    </row>
    <row r="210" spans="1:6" ht="12.75" customHeight="1" x14ac:dyDescent="0.2">
      <c r="A210" s="435" t="s">
        <v>307</v>
      </c>
      <c r="B210" s="431" t="s">
        <v>308</v>
      </c>
      <c r="C210" s="380">
        <f>+[10]BS17A!$D19</f>
        <v>60</v>
      </c>
      <c r="D210" s="270">
        <f>+[10]BS17A!$U19</f>
        <v>14110</v>
      </c>
      <c r="E210" s="345">
        <f>+[10]BS17A!$V19</f>
        <v>846600</v>
      </c>
      <c r="F210" s="262"/>
    </row>
    <row r="211" spans="1:6" ht="12.75" customHeight="1" x14ac:dyDescent="0.2">
      <c r="A211" s="435" t="s">
        <v>309</v>
      </c>
      <c r="B211" s="430" t="s">
        <v>310</v>
      </c>
      <c r="C211" s="380">
        <f>+[10]BS17A!$D47</f>
        <v>0</v>
      </c>
      <c r="D211" s="270">
        <f>+[10]BS17A!$U47</f>
        <v>1350</v>
      </c>
      <c r="E211" s="345">
        <f>+[10]BS17A!$V47</f>
        <v>0</v>
      </c>
      <c r="F211" s="262"/>
    </row>
    <row r="212" spans="1:6" ht="12.75" customHeight="1" x14ac:dyDescent="0.2">
      <c r="A212" s="435" t="s">
        <v>311</v>
      </c>
      <c r="B212" s="430" t="s">
        <v>312</v>
      </c>
      <c r="C212" s="380">
        <f>+[10]BS17A!$D48</f>
        <v>527</v>
      </c>
      <c r="D212" s="270">
        <f>+[10]BS17A!$U48</f>
        <v>660</v>
      </c>
      <c r="E212" s="345">
        <f>+[10]BS17A!$V48</f>
        <v>347820</v>
      </c>
      <c r="F212" s="262"/>
    </row>
    <row r="213" spans="1:6" ht="12.75" customHeight="1" x14ac:dyDescent="0.2">
      <c r="A213" s="435" t="s">
        <v>313</v>
      </c>
      <c r="B213" s="431" t="s">
        <v>314</v>
      </c>
      <c r="C213" s="380">
        <f>+[10]BS17A!$D49</f>
        <v>542</v>
      </c>
      <c r="D213" s="270">
        <f>+[10]BS17A!$U49</f>
        <v>2000</v>
      </c>
      <c r="E213" s="345">
        <f>+[10]BS17A!$V49</f>
        <v>1084000</v>
      </c>
      <c r="F213" s="262"/>
    </row>
    <row r="214" spans="1:6" ht="12.75" customHeight="1" x14ac:dyDescent="0.2">
      <c r="A214" s="435" t="s">
        <v>315</v>
      </c>
      <c r="B214" s="431" t="s">
        <v>316</v>
      </c>
      <c r="C214" s="380">
        <f>+[10]BS17A!$D50</f>
        <v>56</v>
      </c>
      <c r="D214" s="270">
        <f>+[10]BS17A!$U50</f>
        <v>15030</v>
      </c>
      <c r="E214" s="345">
        <f>+[10]BS17A!$V50</f>
        <v>841680</v>
      </c>
      <c r="F214" s="262"/>
    </row>
    <row r="215" spans="1:6" ht="12.75" customHeight="1" x14ac:dyDescent="0.2">
      <c r="A215" s="435" t="s">
        <v>317</v>
      </c>
      <c r="B215" s="430" t="s">
        <v>318</v>
      </c>
      <c r="C215" s="380">
        <f>+[10]BS17A!$D51</f>
        <v>110</v>
      </c>
      <c r="D215" s="270">
        <f>+[10]BS17A!$U51</f>
        <v>34510</v>
      </c>
      <c r="E215" s="345">
        <f>+[10]BS17A!$V51</f>
        <v>3796100</v>
      </c>
      <c r="F215" s="262"/>
    </row>
    <row r="216" spans="1:6" ht="12.75" customHeight="1" x14ac:dyDescent="0.2">
      <c r="A216" s="457" t="s">
        <v>319</v>
      </c>
      <c r="B216" s="430" t="s">
        <v>320</v>
      </c>
      <c r="C216" s="380">
        <f>+[10]BS17A!D52</f>
        <v>32</v>
      </c>
      <c r="D216" s="357"/>
      <c r="E216" s="345">
        <f>+[10]BS17A!V52</f>
        <v>275520</v>
      </c>
      <c r="F216" s="262"/>
    </row>
    <row r="217" spans="1:6" ht="12.75" customHeight="1" x14ac:dyDescent="0.2">
      <c r="A217" s="436" t="s">
        <v>321</v>
      </c>
      <c r="B217" s="432" t="s">
        <v>322</v>
      </c>
      <c r="C217" s="395">
        <f>+[10]BS17A!$D1861</f>
        <v>39</v>
      </c>
      <c r="D217" s="277">
        <f>+[10]BS17A!$U1861</f>
        <v>27970</v>
      </c>
      <c r="E217" s="350">
        <f>+[10]BS17A!$V1861</f>
        <v>1090830</v>
      </c>
      <c r="F217" s="262"/>
    </row>
    <row r="218" spans="1:6" ht="12.75" x14ac:dyDescent="0.2">
      <c r="A218" s="442"/>
      <c r="B218" s="441" t="s">
        <v>323</v>
      </c>
      <c r="C218" s="279">
        <f>SUM(C209:C217)</f>
        <v>1366</v>
      </c>
      <c r="D218" s="348"/>
      <c r="E218" s="356">
        <f>SUM(E209:E217)</f>
        <v>8282550</v>
      </c>
      <c r="F218" s="262"/>
    </row>
    <row r="219" spans="1:6" ht="17.25" customHeight="1" x14ac:dyDescent="0.2">
      <c r="A219" s="262"/>
      <c r="B219" s="262"/>
      <c r="C219" s="262"/>
      <c r="D219" s="262"/>
      <c r="E219" s="262"/>
      <c r="F219" s="262"/>
    </row>
    <row r="220" spans="1:6" ht="18" customHeight="1" x14ac:dyDescent="0.2">
      <c r="A220" s="262"/>
      <c r="B220" s="262"/>
      <c r="C220" s="262"/>
      <c r="D220" s="262"/>
      <c r="E220" s="262"/>
      <c r="F220" s="262"/>
    </row>
    <row r="221" spans="1:6" ht="27.75" customHeight="1" x14ac:dyDescent="0.2">
      <c r="A221" s="605" t="s">
        <v>324</v>
      </c>
      <c r="B221" s="606"/>
      <c r="C221" s="607"/>
      <c r="D221" s="262"/>
      <c r="E221" s="262"/>
      <c r="F221" s="259"/>
    </row>
    <row r="222" spans="1:6" ht="42.75" customHeight="1" x14ac:dyDescent="0.2">
      <c r="A222" s="264" t="s">
        <v>8</v>
      </c>
      <c r="B222" s="264" t="s">
        <v>10</v>
      </c>
      <c r="C222" s="264" t="s">
        <v>12</v>
      </c>
      <c r="D222" s="259"/>
      <c r="E222" s="262"/>
      <c r="F222" s="262"/>
    </row>
    <row r="223" spans="1:6" ht="15" customHeight="1" x14ac:dyDescent="0.2">
      <c r="A223" s="434" t="s">
        <v>325</v>
      </c>
      <c r="B223" s="452" t="s">
        <v>326</v>
      </c>
      <c r="C223" s="358"/>
      <c r="D223" s="359"/>
      <c r="E223" s="262"/>
      <c r="F223" s="262"/>
    </row>
    <row r="224" spans="1:6" ht="15" customHeight="1" x14ac:dyDescent="0.2">
      <c r="A224" s="455" t="s">
        <v>327</v>
      </c>
      <c r="B224" s="453" t="s">
        <v>328</v>
      </c>
      <c r="C224" s="360"/>
      <c r="D224" s="359"/>
      <c r="E224" s="262"/>
      <c r="F224" s="262"/>
    </row>
    <row r="225" spans="1:7" ht="18" customHeight="1" x14ac:dyDescent="0.2">
      <c r="A225" s="456"/>
      <c r="B225" s="454" t="s">
        <v>329</v>
      </c>
      <c r="C225" s="416">
        <f>SUM(C223:C224)</f>
        <v>0</v>
      </c>
      <c r="D225" s="359"/>
      <c r="E225" s="262"/>
      <c r="F225" s="262"/>
    </row>
    <row r="226" spans="1:7" ht="18" customHeight="1" x14ac:dyDescent="0.2">
      <c r="A226" s="262"/>
      <c r="B226" s="262"/>
      <c r="C226" s="262"/>
      <c r="D226" s="359"/>
      <c r="E226" s="359"/>
      <c r="F226" s="359"/>
    </row>
    <row r="227" spans="1:7" ht="18" customHeight="1" x14ac:dyDescent="0.2">
      <c r="A227" s="262"/>
      <c r="B227" s="262"/>
      <c r="C227" s="262"/>
      <c r="D227" s="262"/>
      <c r="E227" s="262"/>
      <c r="F227" s="359"/>
      <c r="G227" s="361"/>
    </row>
    <row r="228" spans="1:7" ht="18" customHeight="1" x14ac:dyDescent="0.2">
      <c r="A228" s="583" t="s">
        <v>330</v>
      </c>
      <c r="B228" s="584"/>
      <c r="C228" s="584"/>
      <c r="D228" s="584"/>
      <c r="E228" s="585"/>
      <c r="F228" s="359"/>
      <c r="G228" s="361"/>
    </row>
    <row r="229" spans="1:7" ht="56.25" customHeight="1" x14ac:dyDescent="0.2">
      <c r="A229" s="264" t="s">
        <v>8</v>
      </c>
      <c r="B229" s="264" t="s">
        <v>9</v>
      </c>
      <c r="C229" s="524" t="s">
        <v>10</v>
      </c>
      <c r="D229" s="310" t="s">
        <v>11</v>
      </c>
      <c r="E229" s="526" t="s">
        <v>12</v>
      </c>
      <c r="F229" s="359"/>
      <c r="G229" s="361"/>
    </row>
    <row r="230" spans="1:7" ht="15" customHeight="1" x14ac:dyDescent="0.2">
      <c r="A230" s="434" t="s">
        <v>331</v>
      </c>
      <c r="B230" s="451" t="s">
        <v>332</v>
      </c>
      <c r="C230" s="414">
        <f>+[10]BS17A!$D1941</f>
        <v>228</v>
      </c>
      <c r="D230" s="275">
        <f>+[10]BS17A!$U1941</f>
        <v>19310</v>
      </c>
      <c r="E230" s="344">
        <f>+[10]BS17A!$V1941</f>
        <v>4402680</v>
      </c>
      <c r="F230" s="262"/>
    </row>
    <row r="231" spans="1:7" ht="15" customHeight="1" x14ac:dyDescent="0.2">
      <c r="A231" s="436" t="s">
        <v>333</v>
      </c>
      <c r="B231" s="432" t="s">
        <v>334</v>
      </c>
      <c r="C231" s="415">
        <f>+[10]BS17A!$D1942</f>
        <v>0</v>
      </c>
      <c r="D231" s="277">
        <f>+[10]BS17A!$U1942</f>
        <v>242060</v>
      </c>
      <c r="E231" s="350">
        <f>+[10]BS17A!$V1942</f>
        <v>0</v>
      </c>
      <c r="F231" s="262"/>
    </row>
    <row r="232" spans="1:7" ht="18" customHeight="1" x14ac:dyDescent="0.2">
      <c r="A232" s="442"/>
      <c r="B232" s="441" t="s">
        <v>335</v>
      </c>
      <c r="C232" s="279">
        <f>SUM(C230:C231)</f>
        <v>228</v>
      </c>
      <c r="D232" s="348"/>
      <c r="E232" s="349">
        <f>SUM(E230:E231)</f>
        <v>4402680</v>
      </c>
      <c r="F232" s="262"/>
    </row>
    <row r="233" spans="1:7" ht="18" customHeight="1" x14ac:dyDescent="0.2">
      <c r="A233" s="362"/>
      <c r="B233" s="363"/>
      <c r="C233" s="364"/>
      <c r="D233" s="362"/>
      <c r="E233" s="362"/>
      <c r="F233" s="262"/>
    </row>
    <row r="234" spans="1:7" ht="18" customHeight="1" x14ac:dyDescent="0.2">
      <c r="A234" s="362"/>
      <c r="B234" s="363"/>
      <c r="C234" s="364"/>
      <c r="D234" s="362"/>
      <c r="E234" s="362"/>
      <c r="F234" s="262"/>
    </row>
    <row r="235" spans="1:7" ht="18" customHeight="1" x14ac:dyDescent="0.2">
      <c r="A235" s="591" t="s">
        <v>336</v>
      </c>
      <c r="B235" s="584"/>
      <c r="C235" s="584"/>
      <c r="D235" s="584"/>
      <c r="E235" s="585"/>
      <c r="F235" s="262"/>
    </row>
    <row r="236" spans="1:7" ht="41.25" customHeight="1" x14ac:dyDescent="0.2">
      <c r="A236" s="264" t="s">
        <v>8</v>
      </c>
      <c r="B236" s="264" t="s">
        <v>9</v>
      </c>
      <c r="C236" s="524" t="s">
        <v>10</v>
      </c>
      <c r="D236" s="310" t="s">
        <v>11</v>
      </c>
      <c r="E236" s="526" t="s">
        <v>12</v>
      </c>
      <c r="F236" s="262"/>
    </row>
    <row r="237" spans="1:7" ht="18" customHeight="1" x14ac:dyDescent="0.2">
      <c r="A237" s="341" t="s">
        <v>337</v>
      </c>
      <c r="B237" s="287" t="s">
        <v>338</v>
      </c>
      <c r="C237" s="365">
        <f>[10]BS17A!D768</f>
        <v>585</v>
      </c>
      <c r="D237" s="366"/>
      <c r="E237" s="367">
        <f>[10]BS17A!V768</f>
        <v>4897750</v>
      </c>
      <c r="F237" s="262"/>
    </row>
    <row r="238" spans="1:7" ht="18" customHeight="1" x14ac:dyDescent="0.2">
      <c r="A238" s="362"/>
      <c r="B238" s="363"/>
      <c r="C238" s="364"/>
      <c r="D238" s="362"/>
      <c r="E238" s="362"/>
      <c r="F238" s="262"/>
    </row>
    <row r="239" spans="1:7" ht="18" customHeight="1" x14ac:dyDescent="0.2">
      <c r="A239" s="591" t="s">
        <v>339</v>
      </c>
      <c r="B239" s="592"/>
      <c r="C239" s="592"/>
      <c r="D239" s="592"/>
      <c r="E239" s="593"/>
      <c r="F239" s="262"/>
    </row>
    <row r="240" spans="1:7" ht="43.5" customHeight="1" x14ac:dyDescent="0.2">
      <c r="A240" s="264" t="s">
        <v>8</v>
      </c>
      <c r="B240" s="524" t="s">
        <v>340</v>
      </c>
      <c r="C240" s="309" t="s">
        <v>341</v>
      </c>
      <c r="D240" s="310" t="s">
        <v>11</v>
      </c>
      <c r="E240" s="526" t="s">
        <v>12</v>
      </c>
      <c r="F240" s="262"/>
    </row>
    <row r="241" spans="1:6" ht="15" customHeight="1" x14ac:dyDescent="0.2">
      <c r="A241" s="274" t="s">
        <v>342</v>
      </c>
      <c r="B241" s="397" t="s">
        <v>343</v>
      </c>
      <c r="C241" s="383">
        <f>+[10]BS17A!$D1944</f>
        <v>0</v>
      </c>
      <c r="D241" s="275">
        <f>+[10]BS17A!$U1944</f>
        <v>247230</v>
      </c>
      <c r="E241" s="344">
        <f>+[10]BS17A!$V1944</f>
        <v>0</v>
      </c>
      <c r="F241" s="262"/>
    </row>
    <row r="242" spans="1:6" ht="15" customHeight="1" x14ac:dyDescent="0.2">
      <c r="A242" s="269" t="s">
        <v>344</v>
      </c>
      <c r="B242" s="398" t="s">
        <v>345</v>
      </c>
      <c r="C242" s="380">
        <f>+[10]BS17A!$D1945</f>
        <v>0</v>
      </c>
      <c r="D242" s="270">
        <f>+[10]BS17A!$U1945</f>
        <v>35130</v>
      </c>
      <c r="E242" s="345">
        <f>+[10]BS17A!$V1945</f>
        <v>0</v>
      </c>
      <c r="F242" s="262"/>
    </row>
    <row r="243" spans="1:6" ht="15" customHeight="1" x14ac:dyDescent="0.2">
      <c r="A243" s="269" t="s">
        <v>346</v>
      </c>
      <c r="B243" s="398" t="s">
        <v>347</v>
      </c>
      <c r="C243" s="380">
        <f>+[10]BS17A!$D1946</f>
        <v>0</v>
      </c>
      <c r="D243" s="270">
        <f>+[10]BS17A!$U1946</f>
        <v>132520</v>
      </c>
      <c r="E243" s="345">
        <f>+[10]BS17A!$V1946</f>
        <v>0</v>
      </c>
      <c r="F243" s="262"/>
    </row>
    <row r="244" spans="1:6" ht="15" customHeight="1" x14ac:dyDescent="0.2">
      <c r="A244" s="269" t="s">
        <v>348</v>
      </c>
      <c r="B244" s="398" t="s">
        <v>349</v>
      </c>
      <c r="C244" s="380">
        <f>+[10]BS17A!$D1947</f>
        <v>0</v>
      </c>
      <c r="D244" s="270">
        <f>+[10]BS17A!$U1947</f>
        <v>132520</v>
      </c>
      <c r="E244" s="345">
        <f>+[10]BS17A!$V1947</f>
        <v>0</v>
      </c>
      <c r="F244" s="262"/>
    </row>
    <row r="245" spans="1:6" ht="15" customHeight="1" x14ac:dyDescent="0.2">
      <c r="A245" s="269" t="s">
        <v>350</v>
      </c>
      <c r="B245" s="398" t="s">
        <v>351</v>
      </c>
      <c r="C245" s="380">
        <f>+[10]BS17A!$D1948</f>
        <v>0</v>
      </c>
      <c r="D245" s="270">
        <f>+[10]BS17A!$U1948</f>
        <v>241260</v>
      </c>
      <c r="E245" s="345">
        <f>+[10]BS17A!$V1948</f>
        <v>0</v>
      </c>
      <c r="F245" s="262"/>
    </row>
    <row r="246" spans="1:6" ht="15" customHeight="1" x14ac:dyDescent="0.2">
      <c r="A246" s="269" t="s">
        <v>352</v>
      </c>
      <c r="B246" s="398" t="s">
        <v>353</v>
      </c>
      <c r="C246" s="380">
        <f>+[10]BS17A!$D1949</f>
        <v>0</v>
      </c>
      <c r="D246" s="270">
        <f>+[10]BS17A!$U1949</f>
        <v>370240</v>
      </c>
      <c r="E246" s="345">
        <f>+[10]BS17A!$V1949</f>
        <v>0</v>
      </c>
      <c r="F246" s="262"/>
    </row>
    <row r="247" spans="1:6" ht="15" customHeight="1" x14ac:dyDescent="0.2">
      <c r="A247" s="269" t="s">
        <v>354</v>
      </c>
      <c r="B247" s="398" t="s">
        <v>355</v>
      </c>
      <c r="C247" s="380">
        <f>+[10]BS17A!$D1950</f>
        <v>0</v>
      </c>
      <c r="D247" s="270">
        <f>+[10]BS17A!$U1950</f>
        <v>631610</v>
      </c>
      <c r="E247" s="345">
        <f>+[10]BS17A!$V1950</f>
        <v>0</v>
      </c>
      <c r="F247" s="262"/>
    </row>
    <row r="248" spans="1:6" ht="15" customHeight="1" x14ac:dyDescent="0.2">
      <c r="A248" s="292" t="s">
        <v>356</v>
      </c>
      <c r="B248" s="398" t="s">
        <v>357</v>
      </c>
      <c r="C248" s="380">
        <f>+[10]BS17A!$D1951</f>
        <v>0</v>
      </c>
      <c r="D248" s="270">
        <f>+[10]BS17A!$U1951</f>
        <v>131550</v>
      </c>
      <c r="E248" s="345">
        <f>+[10]BS17A!$V1951</f>
        <v>0</v>
      </c>
      <c r="F248" s="262"/>
    </row>
    <row r="249" spans="1:6" ht="15" customHeight="1" x14ac:dyDescent="0.2">
      <c r="A249" s="292" t="s">
        <v>358</v>
      </c>
      <c r="B249" s="398" t="s">
        <v>359</v>
      </c>
      <c r="C249" s="380">
        <f>+[10]BS17A!$D1952</f>
        <v>0</v>
      </c>
      <c r="D249" s="270">
        <f>+[10]BS17A!$U1952</f>
        <v>354560</v>
      </c>
      <c r="E249" s="345">
        <f>+[10]BS17A!$V1952</f>
        <v>0</v>
      </c>
      <c r="F249" s="262"/>
    </row>
    <row r="250" spans="1:6" ht="15" customHeight="1" x14ac:dyDescent="0.2">
      <c r="A250" s="292" t="s">
        <v>360</v>
      </c>
      <c r="B250" s="398" t="s">
        <v>361</v>
      </c>
      <c r="C250" s="410">
        <f>+[10]BS17A!$D1953</f>
        <v>0</v>
      </c>
      <c r="D250" s="272">
        <f>+[10]BS17A!$U1953</f>
        <v>149290</v>
      </c>
      <c r="E250" s="368">
        <f>+[10]BS17A!$V1953</f>
        <v>0</v>
      </c>
      <c r="F250" s="262"/>
    </row>
    <row r="251" spans="1:6" ht="15" customHeight="1" x14ac:dyDescent="0.2">
      <c r="A251" s="292" t="s">
        <v>362</v>
      </c>
      <c r="B251" s="398" t="s">
        <v>363</v>
      </c>
      <c r="C251" s="410">
        <f>+[10]BS17A!$D1954</f>
        <v>0</v>
      </c>
      <c r="D251" s="272">
        <f>+[10]BS17A!$U1954</f>
        <v>129730</v>
      </c>
      <c r="E251" s="368">
        <f>+[10]BS17A!$V1954</f>
        <v>0</v>
      </c>
      <c r="F251" s="262"/>
    </row>
    <row r="252" spans="1:6" ht="15" customHeight="1" x14ac:dyDescent="0.2">
      <c r="A252" s="292" t="s">
        <v>364</v>
      </c>
      <c r="B252" s="398" t="s">
        <v>365</v>
      </c>
      <c r="C252" s="410">
        <f>+[10]BS17A!$D1955</f>
        <v>0</v>
      </c>
      <c r="D252" s="272">
        <f>+[10]BS17A!$U1955</f>
        <v>197230</v>
      </c>
      <c r="E252" s="368">
        <f>+[10]BS17A!$V1955</f>
        <v>0</v>
      </c>
      <c r="F252" s="262"/>
    </row>
    <row r="253" spans="1:6" ht="15" customHeight="1" x14ac:dyDescent="0.2">
      <c r="A253" s="292" t="s">
        <v>366</v>
      </c>
      <c r="B253" s="398" t="s">
        <v>367</v>
      </c>
      <c r="C253" s="410">
        <f>+[10]BS17A!$D1956</f>
        <v>0</v>
      </c>
      <c r="D253" s="272">
        <f>+[10]BS17A!$U1956</f>
        <v>51900</v>
      </c>
      <c r="E253" s="368">
        <f>+[10]BS17A!$V1956</f>
        <v>0</v>
      </c>
      <c r="F253" s="262"/>
    </row>
    <row r="254" spans="1:6" ht="15" customHeight="1" x14ac:dyDescent="0.2">
      <c r="A254" s="327" t="s">
        <v>368</v>
      </c>
      <c r="B254" s="409" t="s">
        <v>369</v>
      </c>
      <c r="C254" s="395">
        <f>+[10]BS17A!$D1957</f>
        <v>0</v>
      </c>
      <c r="D254" s="277">
        <f>+[10]BS17A!$U1957</f>
        <v>38790</v>
      </c>
      <c r="E254" s="350">
        <f>+[10]BS17A!$V1957</f>
        <v>0</v>
      </c>
      <c r="F254" s="262"/>
    </row>
    <row r="255" spans="1:6" ht="15" customHeight="1" x14ac:dyDescent="0.2">
      <c r="A255" s="586" t="s">
        <v>370</v>
      </c>
      <c r="B255" s="587"/>
      <c r="C255" s="587"/>
      <c r="D255" s="587"/>
      <c r="E255" s="588"/>
      <c r="F255" s="262"/>
    </row>
    <row r="256" spans="1:6" ht="15" customHeight="1" x14ac:dyDescent="0.2">
      <c r="A256" s="434" t="s">
        <v>371</v>
      </c>
      <c r="B256" s="448" t="s">
        <v>343</v>
      </c>
      <c r="C256" s="383">
        <f>+[10]BS17A!$D1958</f>
        <v>0</v>
      </c>
      <c r="D256" s="275">
        <f>+[10]BS17A!$U1958</f>
        <v>212700</v>
      </c>
      <c r="E256" s="344">
        <f>+[10]BS17A!$V1958</f>
        <v>0</v>
      </c>
      <c r="F256" s="262"/>
    </row>
    <row r="257" spans="1:6" ht="15" customHeight="1" x14ac:dyDescent="0.2">
      <c r="A257" s="435" t="s">
        <v>372</v>
      </c>
      <c r="B257" s="449" t="s">
        <v>373</v>
      </c>
      <c r="C257" s="380">
        <f>+[10]BS17A!$D1959</f>
        <v>0</v>
      </c>
      <c r="D257" s="270">
        <f>+[10]BS17A!$U1959</f>
        <v>1265290</v>
      </c>
      <c r="E257" s="345">
        <f>+[10]BS17A!$V1959</f>
        <v>0</v>
      </c>
      <c r="F257" s="262"/>
    </row>
    <row r="258" spans="1:6" ht="15" customHeight="1" x14ac:dyDescent="0.2">
      <c r="A258" s="435" t="s">
        <v>374</v>
      </c>
      <c r="B258" s="449" t="s">
        <v>375</v>
      </c>
      <c r="C258" s="380">
        <f>+[10]BS17A!$D1960</f>
        <v>0</v>
      </c>
      <c r="D258" s="270">
        <f>+[10]BS17A!$U1960</f>
        <v>190900</v>
      </c>
      <c r="E258" s="345">
        <f>+[10]BS17A!$V1960</f>
        <v>0</v>
      </c>
      <c r="F258" s="262"/>
    </row>
    <row r="259" spans="1:6" ht="15" customHeight="1" x14ac:dyDescent="0.2">
      <c r="A259" s="435" t="s">
        <v>376</v>
      </c>
      <c r="B259" s="449" t="s">
        <v>377</v>
      </c>
      <c r="C259" s="380">
        <f>+[10]BS17A!$D1961</f>
        <v>0</v>
      </c>
      <c r="D259" s="270">
        <f>+[10]BS17A!$U1961</f>
        <v>168820</v>
      </c>
      <c r="E259" s="345">
        <f>+[10]BS17A!$V1961</f>
        <v>0</v>
      </c>
      <c r="F259" s="262"/>
    </row>
    <row r="260" spans="1:6" ht="15" customHeight="1" x14ac:dyDescent="0.2">
      <c r="A260" s="435" t="s">
        <v>378</v>
      </c>
      <c r="B260" s="449" t="s">
        <v>379</v>
      </c>
      <c r="C260" s="380">
        <f>+[10]BS17A!$D1962</f>
        <v>0</v>
      </c>
      <c r="D260" s="270">
        <f>+[10]BS17A!$U1962</f>
        <v>342700</v>
      </c>
      <c r="E260" s="345">
        <f>+[10]BS17A!$V1962</f>
        <v>0</v>
      </c>
      <c r="F260" s="262"/>
    </row>
    <row r="261" spans="1:6" ht="15" customHeight="1" x14ac:dyDescent="0.2">
      <c r="A261" s="435" t="s">
        <v>380</v>
      </c>
      <c r="B261" s="449" t="s">
        <v>381</v>
      </c>
      <c r="C261" s="380">
        <f>+[10]BS17A!$D1963</f>
        <v>0</v>
      </c>
      <c r="D261" s="270">
        <f>+[10]BS17A!$U1963</f>
        <v>1139590</v>
      </c>
      <c r="E261" s="345">
        <f>+[10]BS17A!$V1963</f>
        <v>0</v>
      </c>
      <c r="F261" s="262"/>
    </row>
    <row r="262" spans="1:6" ht="15" customHeight="1" x14ac:dyDescent="0.2">
      <c r="A262" s="435" t="s">
        <v>382</v>
      </c>
      <c r="B262" s="449" t="s">
        <v>383</v>
      </c>
      <c r="C262" s="380">
        <f>+[10]BS17A!$D1964</f>
        <v>0</v>
      </c>
      <c r="D262" s="270">
        <f>+[10]BS17A!$U1964</f>
        <v>1171120</v>
      </c>
      <c r="E262" s="345">
        <f>+[10]BS17A!$V1964</f>
        <v>0</v>
      </c>
      <c r="F262" s="262"/>
    </row>
    <row r="263" spans="1:6" ht="15" customHeight="1" x14ac:dyDescent="0.2">
      <c r="A263" s="435" t="s">
        <v>384</v>
      </c>
      <c r="B263" s="449" t="s">
        <v>385</v>
      </c>
      <c r="C263" s="380">
        <f>+[10]BS17A!$D1965</f>
        <v>0</v>
      </c>
      <c r="D263" s="270">
        <f>+[10]BS17A!$U1965</f>
        <v>927270</v>
      </c>
      <c r="E263" s="345">
        <f>+[10]BS17A!$V1965</f>
        <v>0</v>
      </c>
      <c r="F263" s="262"/>
    </row>
    <row r="264" spans="1:6" ht="15" customHeight="1" x14ac:dyDescent="0.2">
      <c r="A264" s="435" t="s">
        <v>386</v>
      </c>
      <c r="B264" s="449" t="s">
        <v>387</v>
      </c>
      <c r="C264" s="380">
        <f>+[10]BS17A!$D1966</f>
        <v>0</v>
      </c>
      <c r="D264" s="270">
        <f>+[10]BS17A!$U1966</f>
        <v>977250</v>
      </c>
      <c r="E264" s="345">
        <f>+[10]BS17A!$V1966</f>
        <v>0</v>
      </c>
      <c r="F264" s="262"/>
    </row>
    <row r="265" spans="1:6" ht="15" customHeight="1" x14ac:dyDescent="0.2">
      <c r="A265" s="435" t="s">
        <v>388</v>
      </c>
      <c r="B265" s="449" t="s">
        <v>389</v>
      </c>
      <c r="C265" s="380">
        <f>+[10]BS17A!$D1967</f>
        <v>0</v>
      </c>
      <c r="D265" s="270">
        <f>+[10]BS17A!$U1967</f>
        <v>385520</v>
      </c>
      <c r="E265" s="345">
        <f>+[10]BS17A!$V1967</f>
        <v>0</v>
      </c>
      <c r="F265" s="262"/>
    </row>
    <row r="266" spans="1:6" ht="15" customHeight="1" x14ac:dyDescent="0.2">
      <c r="A266" s="435" t="s">
        <v>390</v>
      </c>
      <c r="B266" s="449" t="s">
        <v>391</v>
      </c>
      <c r="C266" s="380">
        <f>+[10]BS17A!$D1968</f>
        <v>0</v>
      </c>
      <c r="D266" s="270">
        <f>+[10]BS17A!$U1968</f>
        <v>92330</v>
      </c>
      <c r="E266" s="345">
        <f>+[10]BS17A!$V1968</f>
        <v>0</v>
      </c>
      <c r="F266" s="262"/>
    </row>
    <row r="267" spans="1:6" ht="15" customHeight="1" x14ac:dyDescent="0.2">
      <c r="A267" s="435" t="s">
        <v>392</v>
      </c>
      <c r="B267" s="449" t="s">
        <v>393</v>
      </c>
      <c r="C267" s="380">
        <f>+[10]BS17A!$D1969</f>
        <v>0</v>
      </c>
      <c r="D267" s="270">
        <f>+[10]BS17A!$U1969</f>
        <v>275450</v>
      </c>
      <c r="E267" s="345">
        <f>+[10]BS17A!$V1969</f>
        <v>0</v>
      </c>
      <c r="F267" s="262"/>
    </row>
    <row r="268" spans="1:6" ht="15" customHeight="1" x14ac:dyDescent="0.2">
      <c r="A268" s="435" t="s">
        <v>394</v>
      </c>
      <c r="B268" s="431" t="s">
        <v>395</v>
      </c>
      <c r="C268" s="380">
        <f>+[10]BS17A!$D1970</f>
        <v>0</v>
      </c>
      <c r="D268" s="270">
        <f>+[10]BS17A!$U1970</f>
        <v>77880</v>
      </c>
      <c r="E268" s="345">
        <f>+[10]BS17A!$V1970</f>
        <v>0</v>
      </c>
      <c r="F268" s="262"/>
    </row>
    <row r="269" spans="1:6" ht="15" customHeight="1" x14ac:dyDescent="0.2">
      <c r="A269" s="435" t="s">
        <v>396</v>
      </c>
      <c r="B269" s="431" t="s">
        <v>397</v>
      </c>
      <c r="C269" s="380">
        <f>+[10]BS17A!$D1971</f>
        <v>0</v>
      </c>
      <c r="D269" s="270">
        <f>+[10]BS17A!$U1971</f>
        <v>1338250</v>
      </c>
      <c r="E269" s="345">
        <f>+[10]BS17A!$V1971</f>
        <v>0</v>
      </c>
      <c r="F269" s="262"/>
    </row>
    <row r="270" spans="1:6" ht="15" customHeight="1" x14ac:dyDescent="0.2">
      <c r="A270" s="435" t="s">
        <v>398</v>
      </c>
      <c r="B270" s="431" t="s">
        <v>399</v>
      </c>
      <c r="C270" s="380">
        <f>+[10]BS17A!$D1972</f>
        <v>0</v>
      </c>
      <c r="D270" s="270">
        <f>+[10]BS17A!$U1972</f>
        <v>312910</v>
      </c>
      <c r="E270" s="345">
        <f>+[10]BS17A!$V1972</f>
        <v>0</v>
      </c>
      <c r="F270" s="262"/>
    </row>
    <row r="271" spans="1:6" ht="15" customHeight="1" x14ac:dyDescent="0.2">
      <c r="A271" s="435" t="s">
        <v>400</v>
      </c>
      <c r="B271" s="431" t="s">
        <v>401</v>
      </c>
      <c r="C271" s="380">
        <f>+[10]BS17A!$D1973</f>
        <v>0</v>
      </c>
      <c r="D271" s="270">
        <f>+[10]BS17A!$U1973</f>
        <v>1048270</v>
      </c>
      <c r="E271" s="345">
        <f>+[10]BS17A!$V1973</f>
        <v>0</v>
      </c>
      <c r="F271" s="262"/>
    </row>
    <row r="272" spans="1:6" ht="15" customHeight="1" x14ac:dyDescent="0.2">
      <c r="A272" s="435" t="s">
        <v>402</v>
      </c>
      <c r="B272" s="450" t="s">
        <v>403</v>
      </c>
      <c r="C272" s="380">
        <f>+[10]BS17A!$D1974</f>
        <v>0</v>
      </c>
      <c r="D272" s="270">
        <f>+[10]BS17A!$U1974</f>
        <v>641750</v>
      </c>
      <c r="E272" s="345">
        <f>+[10]BS17A!$V1974</f>
        <v>0</v>
      </c>
      <c r="F272" s="262"/>
    </row>
    <row r="273" spans="1:10" ht="15" customHeight="1" x14ac:dyDescent="0.2">
      <c r="A273" s="436" t="s">
        <v>404</v>
      </c>
      <c r="B273" s="450" t="s">
        <v>405</v>
      </c>
      <c r="C273" s="395">
        <f>+[10]BS17A!$D1975</f>
        <v>0</v>
      </c>
      <c r="D273" s="272">
        <f>+[10]BS17A!$U1975</f>
        <v>523710</v>
      </c>
      <c r="E273" s="368">
        <f>+[10]BS17A!$V1975</f>
        <v>0</v>
      </c>
      <c r="F273" s="262"/>
    </row>
    <row r="274" spans="1:10" ht="15" customHeight="1" x14ac:dyDescent="0.2">
      <c r="A274" s="586" t="s">
        <v>406</v>
      </c>
      <c r="B274" s="587"/>
      <c r="C274" s="587"/>
      <c r="D274" s="587"/>
      <c r="E274" s="588"/>
      <c r="F274" s="262"/>
    </row>
    <row r="275" spans="1:10" ht="15" customHeight="1" x14ac:dyDescent="0.2">
      <c r="A275" s="434" t="s">
        <v>407</v>
      </c>
      <c r="B275" s="443" t="s">
        <v>408</v>
      </c>
      <c r="C275" s="412">
        <f>+[10]BS17A!$D1976</f>
        <v>0</v>
      </c>
      <c r="D275" s="267">
        <f>[10]BS17A!U1976</f>
        <v>282310</v>
      </c>
      <c r="E275" s="369">
        <f>+[10]BS17A!$V1976</f>
        <v>0</v>
      </c>
      <c r="F275" s="262"/>
    </row>
    <row r="276" spans="1:10" ht="15" customHeight="1" x14ac:dyDescent="0.2">
      <c r="A276" s="435" t="s">
        <v>409</v>
      </c>
      <c r="B276" s="431" t="s">
        <v>410</v>
      </c>
      <c r="C276" s="380">
        <f>+[10]BS17A!$D1977</f>
        <v>0</v>
      </c>
      <c r="D276" s="270">
        <f>[10]BS17A!U1977</f>
        <v>164590</v>
      </c>
      <c r="E276" s="345">
        <f>+[10]BS17A!$V1977</f>
        <v>0</v>
      </c>
      <c r="F276" s="262"/>
    </row>
    <row r="277" spans="1:10" ht="15" customHeight="1" x14ac:dyDescent="0.2">
      <c r="A277" s="435" t="s">
        <v>411</v>
      </c>
      <c r="B277" s="431" t="s">
        <v>412</v>
      </c>
      <c r="C277" s="380">
        <f>+[10]BS17A!$D1978</f>
        <v>0</v>
      </c>
      <c r="D277" s="270">
        <f>[10]BS17A!U1978</f>
        <v>397700</v>
      </c>
      <c r="E277" s="345">
        <f>+[10]BS17A!$V1978</f>
        <v>0</v>
      </c>
      <c r="F277" s="262"/>
    </row>
    <row r="278" spans="1:10" ht="15" customHeight="1" x14ac:dyDescent="0.2">
      <c r="A278" s="435" t="s">
        <v>413</v>
      </c>
      <c r="B278" s="431" t="s">
        <v>414</v>
      </c>
      <c r="C278" s="380">
        <f>+[10]BS17A!$D1979</f>
        <v>0</v>
      </c>
      <c r="D278" s="270">
        <f>[10]BS17A!U1979</f>
        <v>412140</v>
      </c>
      <c r="E278" s="345">
        <f>+[10]BS17A!$V1979</f>
        <v>0</v>
      </c>
      <c r="F278" s="262"/>
    </row>
    <row r="279" spans="1:10" ht="15" customHeight="1" x14ac:dyDescent="0.2">
      <c r="A279" s="436" t="s">
        <v>415</v>
      </c>
      <c r="B279" s="444" t="s">
        <v>416</v>
      </c>
      <c r="C279" s="395">
        <f>+[10]BS17A!$D1980</f>
        <v>0</v>
      </c>
      <c r="D279" s="277">
        <f>[10]BS17A!U1980</f>
        <v>257530</v>
      </c>
      <c r="E279" s="350">
        <f>+[10]BS17A!$V1980</f>
        <v>0</v>
      </c>
      <c r="F279" s="370"/>
    </row>
    <row r="280" spans="1:10" ht="15" customHeight="1" x14ac:dyDescent="0.2">
      <c r="A280" s="447" t="s">
        <v>417</v>
      </c>
      <c r="B280" s="445" t="s">
        <v>418</v>
      </c>
      <c r="C280" s="413">
        <f>+[10]BS17A!$D1981</f>
        <v>109</v>
      </c>
      <c r="D280" s="371">
        <f>[10]BS17A!U1981</f>
        <v>35020</v>
      </c>
      <c r="E280" s="367">
        <f>+[10]BS17A!$V1981</f>
        <v>3817180</v>
      </c>
      <c r="F280" s="370"/>
    </row>
    <row r="281" spans="1:10" ht="15" customHeight="1" x14ac:dyDescent="0.2">
      <c r="A281" s="442"/>
      <c r="B281" s="446" t="s">
        <v>419</v>
      </c>
      <c r="C281" s="279">
        <f>SUM(C241:C280)</f>
        <v>109</v>
      </c>
      <c r="D281" s="348"/>
      <c r="E281" s="349">
        <f>SUM(E241:E280)</f>
        <v>3817180</v>
      </c>
      <c r="F281" s="370"/>
    </row>
    <row r="282" spans="1:10" ht="18" customHeight="1" x14ac:dyDescent="0.2">
      <c r="A282" s="362"/>
      <c r="B282" s="262"/>
      <c r="C282" s="262"/>
      <c r="D282" s="362"/>
      <c r="E282" s="362"/>
      <c r="F282" s="262"/>
    </row>
    <row r="283" spans="1:10" ht="18" customHeight="1" x14ac:dyDescent="0.2">
      <c r="A283" s="362"/>
      <c r="B283" s="364"/>
      <c r="C283" s="364"/>
      <c r="D283" s="362"/>
      <c r="E283" s="362"/>
      <c r="F283" s="372"/>
      <c r="G283" s="373"/>
      <c r="J283" s="374"/>
    </row>
    <row r="284" spans="1:10" ht="12.75" customHeight="1" x14ac:dyDescent="0.2">
      <c r="A284" s="591" t="s">
        <v>420</v>
      </c>
      <c r="B284" s="592"/>
      <c r="C284" s="592"/>
      <c r="D284" s="592"/>
      <c r="E284" s="593"/>
      <c r="F284" s="262"/>
    </row>
    <row r="285" spans="1:10" ht="44.25" customHeight="1" x14ac:dyDescent="0.2">
      <c r="A285" s="264" t="s">
        <v>8</v>
      </c>
      <c r="B285" s="264" t="s">
        <v>420</v>
      </c>
      <c r="C285" s="524" t="s">
        <v>341</v>
      </c>
      <c r="D285" s="310" t="s">
        <v>11</v>
      </c>
      <c r="E285" s="526" t="s">
        <v>12</v>
      </c>
      <c r="F285" s="370"/>
    </row>
    <row r="286" spans="1:10" ht="15" customHeight="1" x14ac:dyDescent="0.2">
      <c r="A286" s="434" t="s">
        <v>421</v>
      </c>
      <c r="B286" s="438" t="s">
        <v>422</v>
      </c>
      <c r="C286" s="383">
        <f>+[10]BS17A!$D1983</f>
        <v>4</v>
      </c>
      <c r="D286" s="275">
        <f>+[10]BS17A!$U1983</f>
        <v>6890</v>
      </c>
      <c r="E286" s="344">
        <f>+[10]BS17A!$V1983</f>
        <v>27560</v>
      </c>
      <c r="F286" s="262"/>
    </row>
    <row r="287" spans="1:10" ht="15" customHeight="1" x14ac:dyDescent="0.2">
      <c r="A287" s="435" t="s">
        <v>423</v>
      </c>
      <c r="B287" s="439" t="s">
        <v>424</v>
      </c>
      <c r="C287" s="380">
        <f>+[10]BS17A!$D1984</f>
        <v>0</v>
      </c>
      <c r="D287" s="270">
        <f>+[10]BS17A!$U1984</f>
        <v>3670</v>
      </c>
      <c r="E287" s="345">
        <f>+[10]BS17A!$V1984</f>
        <v>0</v>
      </c>
      <c r="F287" s="262"/>
    </row>
    <row r="288" spans="1:10" ht="15" customHeight="1" x14ac:dyDescent="0.2">
      <c r="A288" s="435" t="s">
        <v>425</v>
      </c>
      <c r="B288" s="439" t="s">
        <v>426</v>
      </c>
      <c r="C288" s="380">
        <f>+[10]BS17A!$D1985</f>
        <v>0</v>
      </c>
      <c r="D288" s="270">
        <f>+[10]BS17A!$U1985</f>
        <v>13830</v>
      </c>
      <c r="E288" s="345">
        <f>+[10]BS17A!$V1985</f>
        <v>0</v>
      </c>
      <c r="F288" s="262"/>
    </row>
    <row r="289" spans="1:7" ht="15" customHeight="1" x14ac:dyDescent="0.2">
      <c r="A289" s="435" t="s">
        <v>427</v>
      </c>
      <c r="B289" s="439" t="s">
        <v>428</v>
      </c>
      <c r="C289" s="380">
        <f>+[10]BS17A!$D1986</f>
        <v>0</v>
      </c>
      <c r="D289" s="270">
        <f>+[10]BS17A!$U1986</f>
        <v>141790</v>
      </c>
      <c r="E289" s="345">
        <f>+[10]BS17A!$V1986</f>
        <v>0</v>
      </c>
      <c r="F289" s="262"/>
    </row>
    <row r="290" spans="1:7" ht="15" customHeight="1" x14ac:dyDescent="0.2">
      <c r="A290" s="436" t="s">
        <v>429</v>
      </c>
      <c r="B290" s="440" t="s">
        <v>430</v>
      </c>
      <c r="C290" s="395">
        <f>+[10]BS17A!$D1987</f>
        <v>1</v>
      </c>
      <c r="D290" s="277">
        <f>+[10]BS17A!$U1987</f>
        <v>778770</v>
      </c>
      <c r="E290" s="350">
        <f>+[10]BS17A!$V1987</f>
        <v>778770</v>
      </c>
      <c r="F290" s="262"/>
    </row>
    <row r="291" spans="1:7" ht="15" customHeight="1" x14ac:dyDescent="0.2">
      <c r="A291" s="442"/>
      <c r="B291" s="441" t="s">
        <v>431</v>
      </c>
      <c r="C291" s="316">
        <f>SUM(C286:C290)</f>
        <v>5</v>
      </c>
      <c r="D291" s="288"/>
      <c r="E291" s="317">
        <f>SUM(E286:E290)</f>
        <v>806330</v>
      </c>
      <c r="F291" s="262"/>
    </row>
    <row r="292" spans="1:7" ht="18" customHeight="1" x14ac:dyDescent="0.2">
      <c r="A292" s="362"/>
      <c r="B292" s="364"/>
      <c r="C292" s="362"/>
      <c r="D292" s="362"/>
      <c r="E292" s="362"/>
      <c r="F292" s="262"/>
    </row>
    <row r="293" spans="1:7" ht="18" customHeight="1" x14ac:dyDescent="0.2">
      <c r="A293" s="362"/>
      <c r="B293" s="364"/>
      <c r="C293" s="362"/>
      <c r="D293" s="362"/>
      <c r="E293" s="362"/>
      <c r="F293" s="375"/>
      <c r="G293" s="263"/>
    </row>
    <row r="294" spans="1:7" ht="12.75" x14ac:dyDescent="0.2">
      <c r="A294" s="586" t="s">
        <v>432</v>
      </c>
      <c r="B294" s="587"/>
      <c r="C294" s="587"/>
      <c r="D294" s="587"/>
      <c r="E294" s="588"/>
      <c r="F294" s="376"/>
      <c r="G294" s="263"/>
    </row>
    <row r="295" spans="1:7" ht="42.75" customHeight="1" x14ac:dyDescent="0.2">
      <c r="A295" s="264" t="s">
        <v>8</v>
      </c>
      <c r="B295" s="407" t="s">
        <v>432</v>
      </c>
      <c r="C295" s="408" t="s">
        <v>433</v>
      </c>
      <c r="D295" s="310" t="s">
        <v>11</v>
      </c>
      <c r="E295" s="526" t="s">
        <v>12</v>
      </c>
      <c r="F295" s="376"/>
      <c r="G295" s="263"/>
    </row>
    <row r="296" spans="1:7" ht="15" customHeight="1" x14ac:dyDescent="0.2">
      <c r="A296" s="434" t="s">
        <v>434</v>
      </c>
      <c r="B296" s="429" t="s">
        <v>435</v>
      </c>
      <c r="C296" s="383">
        <f>+[10]BS17A!$D1863</f>
        <v>232</v>
      </c>
      <c r="D296" s="275">
        <f>+[10]BS17A!$U1863</f>
        <v>18430</v>
      </c>
      <c r="E296" s="344">
        <f>+[10]BS17A!$V1863</f>
        <v>4275760</v>
      </c>
      <c r="F296" s="262"/>
    </row>
    <row r="297" spans="1:7" ht="15" customHeight="1" x14ac:dyDescent="0.2">
      <c r="A297" s="435" t="s">
        <v>436</v>
      </c>
      <c r="B297" s="430" t="s">
        <v>437</v>
      </c>
      <c r="C297" s="380">
        <f>+[10]BS17A!$D1864</f>
        <v>205</v>
      </c>
      <c r="D297" s="270">
        <f>+[10]BS17A!$U1864</f>
        <v>57970</v>
      </c>
      <c r="E297" s="345">
        <f>+[10]BS17A!$V1864</f>
        <v>11883850</v>
      </c>
      <c r="F297" s="262"/>
    </row>
    <row r="298" spans="1:7" ht="15" customHeight="1" x14ac:dyDescent="0.2">
      <c r="A298" s="435" t="s">
        <v>438</v>
      </c>
      <c r="B298" s="430" t="s">
        <v>439</v>
      </c>
      <c r="C298" s="380">
        <f>+[10]BS17A!$D1865</f>
        <v>0</v>
      </c>
      <c r="D298" s="270">
        <f>+[10]BS17A!$U1865</f>
        <v>71860</v>
      </c>
      <c r="E298" s="345">
        <f>+[10]BS17A!$V1865</f>
        <v>0</v>
      </c>
      <c r="F298" s="262"/>
    </row>
    <row r="299" spans="1:7" ht="15" customHeight="1" x14ac:dyDescent="0.2">
      <c r="A299" s="435" t="s">
        <v>440</v>
      </c>
      <c r="B299" s="430" t="s">
        <v>441</v>
      </c>
      <c r="C299" s="380">
        <f>+[10]BS17A!$D1866</f>
        <v>146</v>
      </c>
      <c r="D299" s="270">
        <f>+[10]BS17A!$U1866</f>
        <v>2520</v>
      </c>
      <c r="E299" s="345">
        <f>+[10]BS17A!$V1866</f>
        <v>367920</v>
      </c>
      <c r="F299" s="262"/>
    </row>
    <row r="300" spans="1:7" ht="15" customHeight="1" x14ac:dyDescent="0.2">
      <c r="A300" s="435" t="s">
        <v>442</v>
      </c>
      <c r="B300" s="430" t="s">
        <v>443</v>
      </c>
      <c r="C300" s="380">
        <f>+[10]BS17A!$D1867</f>
        <v>0</v>
      </c>
      <c r="D300" s="270">
        <f>+[10]BS17A!$U1867</f>
        <v>70</v>
      </c>
      <c r="E300" s="345">
        <f>+[10]BS17A!$V1867</f>
        <v>0</v>
      </c>
      <c r="F300" s="262"/>
    </row>
    <row r="301" spans="1:7" ht="15" customHeight="1" x14ac:dyDescent="0.2">
      <c r="A301" s="435" t="s">
        <v>444</v>
      </c>
      <c r="B301" s="431" t="s">
        <v>445</v>
      </c>
      <c r="C301" s="380">
        <f>+[10]BS17A!$D1868</f>
        <v>0</v>
      </c>
      <c r="D301" s="270">
        <f>+[10]BS17A!$U1868</f>
        <v>152560</v>
      </c>
      <c r="E301" s="345">
        <f>+[10]BS17A!$V1868</f>
        <v>0</v>
      </c>
      <c r="F301" s="262"/>
    </row>
    <row r="302" spans="1:7" ht="15" customHeight="1" x14ac:dyDescent="0.2">
      <c r="A302" s="436" t="s">
        <v>446</v>
      </c>
      <c r="B302" s="432" t="s">
        <v>447</v>
      </c>
      <c r="C302" s="395">
        <f>+[10]BS17A!$D1869</f>
        <v>0</v>
      </c>
      <c r="D302" s="277">
        <f>+[10]BS17A!$U1869</f>
        <v>10370</v>
      </c>
      <c r="E302" s="350">
        <f>+[10]BS17A!$V1869</f>
        <v>0</v>
      </c>
      <c r="F302" s="262"/>
    </row>
    <row r="303" spans="1:7" ht="15" customHeight="1" x14ac:dyDescent="0.2">
      <c r="A303" s="437"/>
      <c r="B303" s="603" t="s">
        <v>448</v>
      </c>
      <c r="C303" s="604"/>
      <c r="D303" s="366"/>
      <c r="E303" s="377">
        <f>SUM(E296:E302)</f>
        <v>16527530</v>
      </c>
      <c r="F303" s="262"/>
    </row>
    <row r="304" spans="1:7" ht="12.75" x14ac:dyDescent="0.2">
      <c r="A304" s="262"/>
      <c r="B304" s="262"/>
      <c r="C304" s="262"/>
      <c r="D304" s="262"/>
      <c r="E304" s="262"/>
      <c r="F304" s="359"/>
      <c r="G304" s="361"/>
    </row>
    <row r="305" spans="1:7" ht="12.75" x14ac:dyDescent="0.2">
      <c r="A305" s="262"/>
      <c r="B305" s="262"/>
      <c r="C305" s="262"/>
      <c r="D305" s="262"/>
      <c r="E305" s="262"/>
      <c r="F305" s="359"/>
      <c r="G305" s="361"/>
    </row>
    <row r="306" spans="1:7" ht="12.75" x14ac:dyDescent="0.2">
      <c r="A306" s="597" t="s">
        <v>449</v>
      </c>
      <c r="B306" s="598"/>
      <c r="C306" s="598"/>
      <c r="D306" s="598"/>
      <c r="E306" s="599"/>
      <c r="F306" s="359"/>
      <c r="G306" s="361"/>
    </row>
    <row r="307" spans="1:7" ht="12.75" x14ac:dyDescent="0.2">
      <c r="A307" s="307"/>
      <c r="B307" s="600" t="s">
        <v>450</v>
      </c>
      <c r="C307" s="601"/>
      <c r="D307" s="602"/>
      <c r="E307" s="378">
        <f>+E232+E237+E281+E291+E303</f>
        <v>30451470</v>
      </c>
      <c r="F307" s="262"/>
    </row>
    <row r="308" spans="1:7" ht="12.75" x14ac:dyDescent="0.2">
      <c r="A308" s="262"/>
      <c r="B308" s="262"/>
      <c r="C308" s="262"/>
      <c r="D308" s="262"/>
      <c r="E308" s="262"/>
      <c r="F308" s="359"/>
      <c r="G308" s="361"/>
    </row>
    <row r="309" spans="1:7" ht="12.75" x14ac:dyDescent="0.2">
      <c r="A309" s="262"/>
      <c r="B309" s="262"/>
      <c r="C309" s="262"/>
      <c r="D309" s="262"/>
      <c r="E309" s="262"/>
      <c r="F309" s="359"/>
      <c r="G309" s="361"/>
    </row>
    <row r="310" spans="1:7" ht="12.75" x14ac:dyDescent="0.2">
      <c r="A310" s="597" t="s">
        <v>451</v>
      </c>
      <c r="B310" s="598"/>
      <c r="C310" s="598"/>
      <c r="D310" s="598"/>
      <c r="E310" s="599"/>
      <c r="F310" s="359"/>
      <c r="G310" s="361"/>
    </row>
    <row r="311" spans="1:7" ht="25.5" x14ac:dyDescent="0.2">
      <c r="A311" s="586" t="s">
        <v>452</v>
      </c>
      <c r="B311" s="587"/>
      <c r="C311" s="587"/>
      <c r="D311" s="588"/>
      <c r="E311" s="264" t="s">
        <v>12</v>
      </c>
      <c r="F311" s="359"/>
      <c r="G311" s="361"/>
    </row>
    <row r="312" spans="1:7" ht="15" customHeight="1" x14ac:dyDescent="0.2">
      <c r="A312" s="307"/>
      <c r="B312" s="600" t="s">
        <v>453</v>
      </c>
      <c r="C312" s="601"/>
      <c r="D312" s="602"/>
      <c r="E312" s="378">
        <f>+E50+E76+E84+F109+E116+C121+E148+E155+E168+E204+E218+C225+E307</f>
        <v>781515090</v>
      </c>
      <c r="F312" s="359"/>
      <c r="G312" s="361"/>
    </row>
    <row r="313" spans="1:7" ht="18" customHeight="1" x14ac:dyDescent="0.2">
      <c r="A313" s="262"/>
      <c r="B313" s="262"/>
      <c r="C313" s="262"/>
      <c r="D313" s="262"/>
      <c r="E313" s="262"/>
      <c r="F313" s="259"/>
    </row>
    <row r="314" spans="1:7" ht="18" customHeight="1" x14ac:dyDescent="0.2">
      <c r="A314" s="262"/>
      <c r="B314" s="262"/>
      <c r="C314" s="262"/>
      <c r="D314" s="262"/>
      <c r="E314" s="262"/>
      <c r="F314" s="259"/>
    </row>
    <row r="315" spans="1:7" ht="18" customHeight="1" x14ac:dyDescent="0.2">
      <c r="A315" s="597" t="s">
        <v>454</v>
      </c>
      <c r="B315" s="598"/>
      <c r="C315" s="599"/>
      <c r="D315" s="262"/>
      <c r="E315" s="262"/>
      <c r="F315" s="259"/>
    </row>
    <row r="316" spans="1:7" ht="18" customHeight="1" x14ac:dyDescent="0.2">
      <c r="A316" s="586" t="s">
        <v>455</v>
      </c>
      <c r="B316" s="587"/>
      <c r="C316" s="588"/>
      <c r="D316" s="262"/>
      <c r="E316" s="262"/>
      <c r="F316" s="259"/>
    </row>
    <row r="317" spans="1:7" ht="30.75" customHeight="1" x14ac:dyDescent="0.2">
      <c r="A317" s="597" t="s">
        <v>456</v>
      </c>
      <c r="B317" s="598"/>
      <c r="C317" s="264" t="s">
        <v>457</v>
      </c>
      <c r="D317" s="262"/>
      <c r="E317" s="262"/>
      <c r="F317" s="262"/>
    </row>
    <row r="318" spans="1:7" ht="15" customHeight="1" x14ac:dyDescent="0.2">
      <c r="A318" s="379" t="s">
        <v>458</v>
      </c>
      <c r="B318" s="397"/>
      <c r="C318" s="403"/>
      <c r="D318" s="262"/>
      <c r="E318" s="262"/>
      <c r="F318" s="262"/>
    </row>
    <row r="319" spans="1:7" ht="15" customHeight="1" x14ac:dyDescent="0.2">
      <c r="A319" s="380" t="s">
        <v>459</v>
      </c>
      <c r="B319" s="398"/>
      <c r="C319" s="404"/>
      <c r="D319" s="262"/>
      <c r="E319" s="262"/>
      <c r="F319" s="262"/>
    </row>
    <row r="320" spans="1:7" ht="15" customHeight="1" x14ac:dyDescent="0.2">
      <c r="A320" s="380" t="s">
        <v>460</v>
      </c>
      <c r="B320" s="398"/>
      <c r="C320" s="404"/>
      <c r="D320" s="262"/>
      <c r="E320" s="262"/>
      <c r="F320" s="262"/>
    </row>
    <row r="321" spans="1:6" ht="15" customHeight="1" x14ac:dyDescent="0.2">
      <c r="A321" s="381" t="s">
        <v>461</v>
      </c>
      <c r="B321" s="398"/>
      <c r="C321" s="404"/>
      <c r="D321" s="262"/>
      <c r="E321" s="262"/>
      <c r="F321" s="262"/>
    </row>
    <row r="322" spans="1:6" ht="15" customHeight="1" x14ac:dyDescent="0.2">
      <c r="A322" s="382" t="s">
        <v>462</v>
      </c>
      <c r="B322" s="399"/>
      <c r="C322" s="405">
        <f>SUM(C318:C321)</f>
        <v>0</v>
      </c>
      <c r="D322" s="262"/>
      <c r="E322" s="262"/>
      <c r="F322" s="262"/>
    </row>
    <row r="323" spans="1:6" ht="15" customHeight="1" x14ac:dyDescent="0.2">
      <c r="A323" s="383" t="s">
        <v>463</v>
      </c>
      <c r="B323" s="400"/>
      <c r="C323" s="403">
        <v>6486480</v>
      </c>
      <c r="D323" s="262"/>
      <c r="E323" s="262"/>
      <c r="F323" s="262"/>
    </row>
    <row r="324" spans="1:6" ht="15" customHeight="1" x14ac:dyDescent="0.2">
      <c r="A324" s="384" t="s">
        <v>464</v>
      </c>
      <c r="B324" s="401"/>
      <c r="C324" s="404"/>
      <c r="D324" s="262"/>
      <c r="E324" s="262"/>
      <c r="F324" s="262"/>
    </row>
    <row r="325" spans="1:6" ht="15" customHeight="1" x14ac:dyDescent="0.2">
      <c r="A325" s="380" t="s">
        <v>465</v>
      </c>
      <c r="B325" s="401"/>
      <c r="C325" s="404"/>
      <c r="D325" s="262"/>
      <c r="E325" s="262"/>
      <c r="F325" s="262"/>
    </row>
    <row r="326" spans="1:6" ht="15" customHeight="1" x14ac:dyDescent="0.2">
      <c r="A326" s="380" t="s">
        <v>466</v>
      </c>
      <c r="B326" s="401"/>
      <c r="C326" s="404"/>
      <c r="D326" s="262"/>
      <c r="E326" s="262"/>
      <c r="F326" s="262"/>
    </row>
    <row r="327" spans="1:6" ht="15" customHeight="1" x14ac:dyDescent="0.2">
      <c r="A327" s="384" t="s">
        <v>467</v>
      </c>
      <c r="B327" s="401"/>
      <c r="C327" s="404"/>
      <c r="D327" s="262"/>
      <c r="E327" s="262"/>
      <c r="F327" s="262"/>
    </row>
    <row r="328" spans="1:6" ht="15" customHeight="1" x14ac:dyDescent="0.2">
      <c r="A328" s="384" t="s">
        <v>468</v>
      </c>
      <c r="B328" s="401"/>
      <c r="C328" s="404"/>
      <c r="D328" s="262"/>
      <c r="E328" s="262"/>
      <c r="F328" s="262"/>
    </row>
    <row r="329" spans="1:6" ht="15" customHeight="1" x14ac:dyDescent="0.2">
      <c r="A329" s="385" t="s">
        <v>469</v>
      </c>
      <c r="B329" s="402"/>
      <c r="C329" s="406">
        <v>71841035</v>
      </c>
      <c r="D329" s="262"/>
      <c r="E329" s="262"/>
      <c r="F329" s="262"/>
    </row>
    <row r="330" spans="1:6" ht="15" customHeight="1" x14ac:dyDescent="0.2">
      <c r="A330" s="279"/>
      <c r="B330" s="396" t="s">
        <v>470</v>
      </c>
      <c r="C330" s="354">
        <f>SUM(C322:C329)</f>
        <v>78327515</v>
      </c>
      <c r="D330" s="262"/>
      <c r="E330" s="262"/>
      <c r="F330" s="262"/>
    </row>
    <row r="331" spans="1:6" ht="12.75" x14ac:dyDescent="0.2">
      <c r="A331" s="262"/>
      <c r="B331" s="262"/>
      <c r="C331" s="262"/>
      <c r="D331" s="262"/>
      <c r="E331" s="262"/>
      <c r="F331" s="259"/>
    </row>
    <row r="332" spans="1:6" ht="12.75" x14ac:dyDescent="0.2">
      <c r="A332" s="262"/>
      <c r="B332" s="262"/>
      <c r="C332" s="262"/>
      <c r="D332" s="262"/>
      <c r="E332" s="262"/>
      <c r="F332" s="259"/>
    </row>
    <row r="333" spans="1:6" ht="12.75" x14ac:dyDescent="0.2">
      <c r="A333" s="262"/>
      <c r="B333" s="262"/>
      <c r="C333" s="262"/>
      <c r="D333" s="262"/>
      <c r="E333" s="262"/>
      <c r="F333" s="259"/>
    </row>
    <row r="334" spans="1:6" ht="12.75" x14ac:dyDescent="0.2">
      <c r="A334" s="362"/>
      <c r="B334" s="362"/>
      <c r="C334" s="362"/>
      <c r="D334" s="362"/>
      <c r="E334" s="362"/>
      <c r="F334" s="375"/>
    </row>
    <row r="335" spans="1:6" ht="12.75" x14ac:dyDescent="0.2">
      <c r="A335" s="362"/>
      <c r="B335" s="362"/>
      <c r="C335" s="362"/>
      <c r="D335" s="362"/>
      <c r="E335" s="610" t="str">
        <f>[10]NOMBRE!B12</f>
        <v xml:space="preserve">SRA. MARIA INES NUÑEZ GONZALEZ </v>
      </c>
      <c r="F335" s="610"/>
    </row>
    <row r="336" spans="1:6" ht="12.75" x14ac:dyDescent="0.2">
      <c r="A336" s="362"/>
      <c r="B336" s="362"/>
      <c r="C336" s="362"/>
      <c r="D336" s="364"/>
      <c r="E336" s="609" t="str">
        <f>[10]NOMBRE!A12</f>
        <v>Jefe de Estadisticas</v>
      </c>
      <c r="F336" s="609"/>
    </row>
    <row r="337" spans="1:6" ht="12.75" x14ac:dyDescent="0.2">
      <c r="A337" s="362"/>
      <c r="B337" s="362"/>
      <c r="C337" s="362"/>
      <c r="D337" s="362"/>
      <c r="E337" s="530"/>
      <c r="F337" s="387"/>
    </row>
    <row r="338" spans="1:6" ht="12.75" x14ac:dyDescent="0.2">
      <c r="A338" s="362"/>
      <c r="B338" s="362"/>
      <c r="C338" s="362"/>
      <c r="D338" s="362"/>
      <c r="E338" s="387"/>
      <c r="F338" s="387"/>
    </row>
    <row r="339" spans="1:6" ht="12.75" x14ac:dyDescent="0.2">
      <c r="A339" s="362"/>
      <c r="B339" s="362"/>
      <c r="C339" s="362"/>
      <c r="D339" s="362"/>
      <c r="E339" s="387"/>
      <c r="F339" s="387"/>
    </row>
    <row r="340" spans="1:6" ht="12.75" x14ac:dyDescent="0.2">
      <c r="A340" s="362"/>
      <c r="B340" s="362"/>
      <c r="C340" s="362"/>
      <c r="D340" s="362"/>
      <c r="E340" s="387"/>
      <c r="F340" s="387"/>
    </row>
    <row r="341" spans="1:6" ht="12.75" x14ac:dyDescent="0.2">
      <c r="A341" s="362"/>
      <c r="B341" s="362"/>
      <c r="C341" s="362"/>
      <c r="D341" s="362"/>
      <c r="E341" s="387"/>
      <c r="F341" s="387"/>
    </row>
    <row r="342" spans="1:6" ht="12.75" x14ac:dyDescent="0.2">
      <c r="A342" s="362"/>
      <c r="B342" s="362"/>
      <c r="C342" s="362"/>
      <c r="D342" s="362"/>
      <c r="E342" s="387"/>
      <c r="F342" s="387"/>
    </row>
    <row r="343" spans="1:6" ht="12.75" x14ac:dyDescent="0.2">
      <c r="A343" s="362"/>
      <c r="B343" s="362"/>
      <c r="C343" s="362"/>
      <c r="D343" s="362"/>
      <c r="E343" s="387"/>
      <c r="F343" s="387"/>
    </row>
    <row r="344" spans="1:6" ht="12.75" x14ac:dyDescent="0.2">
      <c r="A344" s="362"/>
      <c r="B344" s="362"/>
      <c r="C344" s="362"/>
      <c r="D344" s="362"/>
      <c r="E344" s="610" t="str">
        <f>[10]NOMBRE!B11</f>
        <v xml:space="preserve">DR. FRANCISCO MARTINEZ CAVALLA </v>
      </c>
      <c r="F344" s="610"/>
    </row>
    <row r="345" spans="1:6" ht="22.5" customHeight="1" x14ac:dyDescent="0.2">
      <c r="A345" s="362"/>
      <c r="B345" s="362"/>
      <c r="C345" s="362"/>
      <c r="D345" s="375"/>
      <c r="E345" s="609" t="str">
        <f>CONCATENATE("Director ",[10]NOMBRE!B1)</f>
        <v xml:space="preserve">Director </v>
      </c>
      <c r="F345" s="609"/>
    </row>
    <row r="346" spans="1:6" ht="12.75" x14ac:dyDescent="0.2">
      <c r="A346" s="362"/>
      <c r="B346" s="362"/>
      <c r="C346" s="362"/>
      <c r="D346" s="388"/>
      <c r="E346" s="362"/>
      <c r="F346" s="375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activeCell="B30" sqref="B30"/>
    </sheetView>
  </sheetViews>
  <sheetFormatPr baseColWidth="10" defaultRowHeight="10.5" x14ac:dyDescent="0.15"/>
  <cols>
    <col min="1" max="1" width="20.28515625" style="501" customWidth="1"/>
    <col min="2" max="2" width="83.140625" style="501" customWidth="1"/>
    <col min="3" max="5" width="21.42578125" style="501" customWidth="1"/>
    <col min="6" max="6" width="19.5703125" style="502" customWidth="1"/>
    <col min="7" max="7" width="2.42578125" style="501" customWidth="1"/>
    <col min="8" max="9" width="5.140625" style="501" customWidth="1"/>
    <col min="10" max="256" width="11.42578125" style="501"/>
    <col min="257" max="257" width="20.28515625" style="501" customWidth="1"/>
    <col min="258" max="258" width="83.140625" style="501" customWidth="1"/>
    <col min="259" max="261" width="21.42578125" style="501" customWidth="1"/>
    <col min="262" max="262" width="19.5703125" style="501" customWidth="1"/>
    <col min="263" max="263" width="2.42578125" style="501" customWidth="1"/>
    <col min="264" max="265" width="5.140625" style="501" customWidth="1"/>
    <col min="266" max="512" width="11.42578125" style="501"/>
    <col min="513" max="513" width="20.28515625" style="501" customWidth="1"/>
    <col min="514" max="514" width="83.140625" style="501" customWidth="1"/>
    <col min="515" max="517" width="21.42578125" style="501" customWidth="1"/>
    <col min="518" max="518" width="19.5703125" style="501" customWidth="1"/>
    <col min="519" max="519" width="2.42578125" style="501" customWidth="1"/>
    <col min="520" max="521" width="5.140625" style="501" customWidth="1"/>
    <col min="522" max="768" width="11.42578125" style="501"/>
    <col min="769" max="769" width="20.28515625" style="501" customWidth="1"/>
    <col min="770" max="770" width="83.140625" style="501" customWidth="1"/>
    <col min="771" max="773" width="21.42578125" style="501" customWidth="1"/>
    <col min="774" max="774" width="19.5703125" style="501" customWidth="1"/>
    <col min="775" max="775" width="2.42578125" style="501" customWidth="1"/>
    <col min="776" max="777" width="5.140625" style="501" customWidth="1"/>
    <col min="778" max="1024" width="11.42578125" style="501"/>
    <col min="1025" max="1025" width="20.28515625" style="501" customWidth="1"/>
    <col min="1026" max="1026" width="83.140625" style="501" customWidth="1"/>
    <col min="1027" max="1029" width="21.42578125" style="501" customWidth="1"/>
    <col min="1030" max="1030" width="19.5703125" style="501" customWidth="1"/>
    <col min="1031" max="1031" width="2.42578125" style="501" customWidth="1"/>
    <col min="1032" max="1033" width="5.140625" style="501" customWidth="1"/>
    <col min="1034" max="1280" width="11.42578125" style="501"/>
    <col min="1281" max="1281" width="20.28515625" style="501" customWidth="1"/>
    <col min="1282" max="1282" width="83.140625" style="501" customWidth="1"/>
    <col min="1283" max="1285" width="21.42578125" style="501" customWidth="1"/>
    <col min="1286" max="1286" width="19.5703125" style="501" customWidth="1"/>
    <col min="1287" max="1287" width="2.42578125" style="501" customWidth="1"/>
    <col min="1288" max="1289" width="5.140625" style="501" customWidth="1"/>
    <col min="1290" max="1536" width="11.42578125" style="501"/>
    <col min="1537" max="1537" width="20.28515625" style="501" customWidth="1"/>
    <col min="1538" max="1538" width="83.140625" style="501" customWidth="1"/>
    <col min="1539" max="1541" width="21.42578125" style="501" customWidth="1"/>
    <col min="1542" max="1542" width="19.5703125" style="501" customWidth="1"/>
    <col min="1543" max="1543" width="2.42578125" style="501" customWidth="1"/>
    <col min="1544" max="1545" width="5.140625" style="501" customWidth="1"/>
    <col min="1546" max="1792" width="11.42578125" style="501"/>
    <col min="1793" max="1793" width="20.28515625" style="501" customWidth="1"/>
    <col min="1794" max="1794" width="83.140625" style="501" customWidth="1"/>
    <col min="1795" max="1797" width="21.42578125" style="501" customWidth="1"/>
    <col min="1798" max="1798" width="19.5703125" style="501" customWidth="1"/>
    <col min="1799" max="1799" width="2.42578125" style="501" customWidth="1"/>
    <col min="1800" max="1801" width="5.140625" style="501" customWidth="1"/>
    <col min="1802" max="2048" width="11.42578125" style="501"/>
    <col min="2049" max="2049" width="20.28515625" style="501" customWidth="1"/>
    <col min="2050" max="2050" width="83.140625" style="501" customWidth="1"/>
    <col min="2051" max="2053" width="21.42578125" style="501" customWidth="1"/>
    <col min="2054" max="2054" width="19.5703125" style="501" customWidth="1"/>
    <col min="2055" max="2055" width="2.42578125" style="501" customWidth="1"/>
    <col min="2056" max="2057" width="5.140625" style="501" customWidth="1"/>
    <col min="2058" max="2304" width="11.42578125" style="501"/>
    <col min="2305" max="2305" width="20.28515625" style="501" customWidth="1"/>
    <col min="2306" max="2306" width="83.140625" style="501" customWidth="1"/>
    <col min="2307" max="2309" width="21.42578125" style="501" customWidth="1"/>
    <col min="2310" max="2310" width="19.5703125" style="501" customWidth="1"/>
    <col min="2311" max="2311" width="2.42578125" style="501" customWidth="1"/>
    <col min="2312" max="2313" width="5.140625" style="501" customWidth="1"/>
    <col min="2314" max="2560" width="11.42578125" style="501"/>
    <col min="2561" max="2561" width="20.28515625" style="501" customWidth="1"/>
    <col min="2562" max="2562" width="83.140625" style="501" customWidth="1"/>
    <col min="2563" max="2565" width="21.42578125" style="501" customWidth="1"/>
    <col min="2566" max="2566" width="19.5703125" style="501" customWidth="1"/>
    <col min="2567" max="2567" width="2.42578125" style="501" customWidth="1"/>
    <col min="2568" max="2569" width="5.140625" style="501" customWidth="1"/>
    <col min="2570" max="2816" width="11.42578125" style="501"/>
    <col min="2817" max="2817" width="20.28515625" style="501" customWidth="1"/>
    <col min="2818" max="2818" width="83.140625" style="501" customWidth="1"/>
    <col min="2819" max="2821" width="21.42578125" style="501" customWidth="1"/>
    <col min="2822" max="2822" width="19.5703125" style="501" customWidth="1"/>
    <col min="2823" max="2823" width="2.42578125" style="501" customWidth="1"/>
    <col min="2824" max="2825" width="5.140625" style="501" customWidth="1"/>
    <col min="2826" max="3072" width="11.42578125" style="501"/>
    <col min="3073" max="3073" width="20.28515625" style="501" customWidth="1"/>
    <col min="3074" max="3074" width="83.140625" style="501" customWidth="1"/>
    <col min="3075" max="3077" width="21.42578125" style="501" customWidth="1"/>
    <col min="3078" max="3078" width="19.5703125" style="501" customWidth="1"/>
    <col min="3079" max="3079" width="2.42578125" style="501" customWidth="1"/>
    <col min="3080" max="3081" width="5.140625" style="501" customWidth="1"/>
    <col min="3082" max="3328" width="11.42578125" style="501"/>
    <col min="3329" max="3329" width="20.28515625" style="501" customWidth="1"/>
    <col min="3330" max="3330" width="83.140625" style="501" customWidth="1"/>
    <col min="3331" max="3333" width="21.42578125" style="501" customWidth="1"/>
    <col min="3334" max="3334" width="19.5703125" style="501" customWidth="1"/>
    <col min="3335" max="3335" width="2.42578125" style="501" customWidth="1"/>
    <col min="3336" max="3337" width="5.140625" style="501" customWidth="1"/>
    <col min="3338" max="3584" width="11.42578125" style="501"/>
    <col min="3585" max="3585" width="20.28515625" style="501" customWidth="1"/>
    <col min="3586" max="3586" width="83.140625" style="501" customWidth="1"/>
    <col min="3587" max="3589" width="21.42578125" style="501" customWidth="1"/>
    <col min="3590" max="3590" width="19.5703125" style="501" customWidth="1"/>
    <col min="3591" max="3591" width="2.42578125" style="501" customWidth="1"/>
    <col min="3592" max="3593" width="5.140625" style="501" customWidth="1"/>
    <col min="3594" max="3840" width="11.42578125" style="501"/>
    <col min="3841" max="3841" width="20.28515625" style="501" customWidth="1"/>
    <col min="3842" max="3842" width="83.140625" style="501" customWidth="1"/>
    <col min="3843" max="3845" width="21.42578125" style="501" customWidth="1"/>
    <col min="3846" max="3846" width="19.5703125" style="501" customWidth="1"/>
    <col min="3847" max="3847" width="2.42578125" style="501" customWidth="1"/>
    <col min="3848" max="3849" width="5.140625" style="501" customWidth="1"/>
    <col min="3850" max="4096" width="11.42578125" style="501"/>
    <col min="4097" max="4097" width="20.28515625" style="501" customWidth="1"/>
    <col min="4098" max="4098" width="83.140625" style="501" customWidth="1"/>
    <col min="4099" max="4101" width="21.42578125" style="501" customWidth="1"/>
    <col min="4102" max="4102" width="19.5703125" style="501" customWidth="1"/>
    <col min="4103" max="4103" width="2.42578125" style="501" customWidth="1"/>
    <col min="4104" max="4105" width="5.140625" style="501" customWidth="1"/>
    <col min="4106" max="4352" width="11.42578125" style="501"/>
    <col min="4353" max="4353" width="20.28515625" style="501" customWidth="1"/>
    <col min="4354" max="4354" width="83.140625" style="501" customWidth="1"/>
    <col min="4355" max="4357" width="21.42578125" style="501" customWidth="1"/>
    <col min="4358" max="4358" width="19.5703125" style="501" customWidth="1"/>
    <col min="4359" max="4359" width="2.42578125" style="501" customWidth="1"/>
    <col min="4360" max="4361" width="5.140625" style="501" customWidth="1"/>
    <col min="4362" max="4608" width="11.42578125" style="501"/>
    <col min="4609" max="4609" width="20.28515625" style="501" customWidth="1"/>
    <col min="4610" max="4610" width="83.140625" style="501" customWidth="1"/>
    <col min="4611" max="4613" width="21.42578125" style="501" customWidth="1"/>
    <col min="4614" max="4614" width="19.5703125" style="501" customWidth="1"/>
    <col min="4615" max="4615" width="2.42578125" style="501" customWidth="1"/>
    <col min="4616" max="4617" width="5.140625" style="501" customWidth="1"/>
    <col min="4618" max="4864" width="11.42578125" style="501"/>
    <col min="4865" max="4865" width="20.28515625" style="501" customWidth="1"/>
    <col min="4866" max="4866" width="83.140625" style="501" customWidth="1"/>
    <col min="4867" max="4869" width="21.42578125" style="501" customWidth="1"/>
    <col min="4870" max="4870" width="19.5703125" style="501" customWidth="1"/>
    <col min="4871" max="4871" width="2.42578125" style="501" customWidth="1"/>
    <col min="4872" max="4873" width="5.140625" style="501" customWidth="1"/>
    <col min="4874" max="5120" width="11.42578125" style="501"/>
    <col min="5121" max="5121" width="20.28515625" style="501" customWidth="1"/>
    <col min="5122" max="5122" width="83.140625" style="501" customWidth="1"/>
    <col min="5123" max="5125" width="21.42578125" style="501" customWidth="1"/>
    <col min="5126" max="5126" width="19.5703125" style="501" customWidth="1"/>
    <col min="5127" max="5127" width="2.42578125" style="501" customWidth="1"/>
    <col min="5128" max="5129" width="5.140625" style="501" customWidth="1"/>
    <col min="5130" max="5376" width="11.42578125" style="501"/>
    <col min="5377" max="5377" width="20.28515625" style="501" customWidth="1"/>
    <col min="5378" max="5378" width="83.140625" style="501" customWidth="1"/>
    <col min="5379" max="5381" width="21.42578125" style="501" customWidth="1"/>
    <col min="5382" max="5382" width="19.5703125" style="501" customWidth="1"/>
    <col min="5383" max="5383" width="2.42578125" style="501" customWidth="1"/>
    <col min="5384" max="5385" width="5.140625" style="501" customWidth="1"/>
    <col min="5386" max="5632" width="11.42578125" style="501"/>
    <col min="5633" max="5633" width="20.28515625" style="501" customWidth="1"/>
    <col min="5634" max="5634" width="83.140625" style="501" customWidth="1"/>
    <col min="5635" max="5637" width="21.42578125" style="501" customWidth="1"/>
    <col min="5638" max="5638" width="19.5703125" style="501" customWidth="1"/>
    <col min="5639" max="5639" width="2.42578125" style="501" customWidth="1"/>
    <col min="5640" max="5641" width="5.140625" style="501" customWidth="1"/>
    <col min="5642" max="5888" width="11.42578125" style="501"/>
    <col min="5889" max="5889" width="20.28515625" style="501" customWidth="1"/>
    <col min="5890" max="5890" width="83.140625" style="501" customWidth="1"/>
    <col min="5891" max="5893" width="21.42578125" style="501" customWidth="1"/>
    <col min="5894" max="5894" width="19.5703125" style="501" customWidth="1"/>
    <col min="5895" max="5895" width="2.42578125" style="501" customWidth="1"/>
    <col min="5896" max="5897" width="5.140625" style="501" customWidth="1"/>
    <col min="5898" max="6144" width="11.42578125" style="501"/>
    <col min="6145" max="6145" width="20.28515625" style="501" customWidth="1"/>
    <col min="6146" max="6146" width="83.140625" style="501" customWidth="1"/>
    <col min="6147" max="6149" width="21.42578125" style="501" customWidth="1"/>
    <col min="6150" max="6150" width="19.5703125" style="501" customWidth="1"/>
    <col min="6151" max="6151" width="2.42578125" style="501" customWidth="1"/>
    <col min="6152" max="6153" width="5.140625" style="501" customWidth="1"/>
    <col min="6154" max="6400" width="11.42578125" style="501"/>
    <col min="6401" max="6401" width="20.28515625" style="501" customWidth="1"/>
    <col min="6402" max="6402" width="83.140625" style="501" customWidth="1"/>
    <col min="6403" max="6405" width="21.42578125" style="501" customWidth="1"/>
    <col min="6406" max="6406" width="19.5703125" style="501" customWidth="1"/>
    <col min="6407" max="6407" width="2.42578125" style="501" customWidth="1"/>
    <col min="6408" max="6409" width="5.140625" style="501" customWidth="1"/>
    <col min="6410" max="6656" width="11.42578125" style="501"/>
    <col min="6657" max="6657" width="20.28515625" style="501" customWidth="1"/>
    <col min="6658" max="6658" width="83.140625" style="501" customWidth="1"/>
    <col min="6659" max="6661" width="21.42578125" style="501" customWidth="1"/>
    <col min="6662" max="6662" width="19.5703125" style="501" customWidth="1"/>
    <col min="6663" max="6663" width="2.42578125" style="501" customWidth="1"/>
    <col min="6664" max="6665" width="5.140625" style="501" customWidth="1"/>
    <col min="6666" max="6912" width="11.42578125" style="501"/>
    <col min="6913" max="6913" width="20.28515625" style="501" customWidth="1"/>
    <col min="6914" max="6914" width="83.140625" style="501" customWidth="1"/>
    <col min="6915" max="6917" width="21.42578125" style="501" customWidth="1"/>
    <col min="6918" max="6918" width="19.5703125" style="501" customWidth="1"/>
    <col min="6919" max="6919" width="2.42578125" style="501" customWidth="1"/>
    <col min="6920" max="6921" width="5.140625" style="501" customWidth="1"/>
    <col min="6922" max="7168" width="11.42578125" style="501"/>
    <col min="7169" max="7169" width="20.28515625" style="501" customWidth="1"/>
    <col min="7170" max="7170" width="83.140625" style="501" customWidth="1"/>
    <col min="7171" max="7173" width="21.42578125" style="501" customWidth="1"/>
    <col min="7174" max="7174" width="19.5703125" style="501" customWidth="1"/>
    <col min="7175" max="7175" width="2.42578125" style="501" customWidth="1"/>
    <col min="7176" max="7177" width="5.140625" style="501" customWidth="1"/>
    <col min="7178" max="7424" width="11.42578125" style="501"/>
    <col min="7425" max="7425" width="20.28515625" style="501" customWidth="1"/>
    <col min="7426" max="7426" width="83.140625" style="501" customWidth="1"/>
    <col min="7427" max="7429" width="21.42578125" style="501" customWidth="1"/>
    <col min="7430" max="7430" width="19.5703125" style="501" customWidth="1"/>
    <col min="7431" max="7431" width="2.42578125" style="501" customWidth="1"/>
    <col min="7432" max="7433" width="5.140625" style="501" customWidth="1"/>
    <col min="7434" max="7680" width="11.42578125" style="501"/>
    <col min="7681" max="7681" width="20.28515625" style="501" customWidth="1"/>
    <col min="7682" max="7682" width="83.140625" style="501" customWidth="1"/>
    <col min="7683" max="7685" width="21.42578125" style="501" customWidth="1"/>
    <col min="7686" max="7686" width="19.5703125" style="501" customWidth="1"/>
    <col min="7687" max="7687" width="2.42578125" style="501" customWidth="1"/>
    <col min="7688" max="7689" width="5.140625" style="501" customWidth="1"/>
    <col min="7690" max="7936" width="11.42578125" style="501"/>
    <col min="7937" max="7937" width="20.28515625" style="501" customWidth="1"/>
    <col min="7938" max="7938" width="83.140625" style="501" customWidth="1"/>
    <col min="7939" max="7941" width="21.42578125" style="501" customWidth="1"/>
    <col min="7942" max="7942" width="19.5703125" style="501" customWidth="1"/>
    <col min="7943" max="7943" width="2.42578125" style="501" customWidth="1"/>
    <col min="7944" max="7945" width="5.140625" style="501" customWidth="1"/>
    <col min="7946" max="8192" width="11.42578125" style="501"/>
    <col min="8193" max="8193" width="20.28515625" style="501" customWidth="1"/>
    <col min="8194" max="8194" width="83.140625" style="501" customWidth="1"/>
    <col min="8195" max="8197" width="21.42578125" style="501" customWidth="1"/>
    <col min="8198" max="8198" width="19.5703125" style="501" customWidth="1"/>
    <col min="8199" max="8199" width="2.42578125" style="501" customWidth="1"/>
    <col min="8200" max="8201" width="5.140625" style="501" customWidth="1"/>
    <col min="8202" max="8448" width="11.42578125" style="501"/>
    <col min="8449" max="8449" width="20.28515625" style="501" customWidth="1"/>
    <col min="8450" max="8450" width="83.140625" style="501" customWidth="1"/>
    <col min="8451" max="8453" width="21.42578125" style="501" customWidth="1"/>
    <col min="8454" max="8454" width="19.5703125" style="501" customWidth="1"/>
    <col min="8455" max="8455" width="2.42578125" style="501" customWidth="1"/>
    <col min="8456" max="8457" width="5.140625" style="501" customWidth="1"/>
    <col min="8458" max="8704" width="11.42578125" style="501"/>
    <col min="8705" max="8705" width="20.28515625" style="501" customWidth="1"/>
    <col min="8706" max="8706" width="83.140625" style="501" customWidth="1"/>
    <col min="8707" max="8709" width="21.42578125" style="501" customWidth="1"/>
    <col min="8710" max="8710" width="19.5703125" style="501" customWidth="1"/>
    <col min="8711" max="8711" width="2.42578125" style="501" customWidth="1"/>
    <col min="8712" max="8713" width="5.140625" style="501" customWidth="1"/>
    <col min="8714" max="8960" width="11.42578125" style="501"/>
    <col min="8961" max="8961" width="20.28515625" style="501" customWidth="1"/>
    <col min="8962" max="8962" width="83.140625" style="501" customWidth="1"/>
    <col min="8963" max="8965" width="21.42578125" style="501" customWidth="1"/>
    <col min="8966" max="8966" width="19.5703125" style="501" customWidth="1"/>
    <col min="8967" max="8967" width="2.42578125" style="501" customWidth="1"/>
    <col min="8968" max="8969" width="5.140625" style="501" customWidth="1"/>
    <col min="8970" max="9216" width="11.42578125" style="501"/>
    <col min="9217" max="9217" width="20.28515625" style="501" customWidth="1"/>
    <col min="9218" max="9218" width="83.140625" style="501" customWidth="1"/>
    <col min="9219" max="9221" width="21.42578125" style="501" customWidth="1"/>
    <col min="9222" max="9222" width="19.5703125" style="501" customWidth="1"/>
    <col min="9223" max="9223" width="2.42578125" style="501" customWidth="1"/>
    <col min="9224" max="9225" width="5.140625" style="501" customWidth="1"/>
    <col min="9226" max="9472" width="11.42578125" style="501"/>
    <col min="9473" max="9473" width="20.28515625" style="501" customWidth="1"/>
    <col min="9474" max="9474" width="83.140625" style="501" customWidth="1"/>
    <col min="9475" max="9477" width="21.42578125" style="501" customWidth="1"/>
    <col min="9478" max="9478" width="19.5703125" style="501" customWidth="1"/>
    <col min="9479" max="9479" width="2.42578125" style="501" customWidth="1"/>
    <col min="9480" max="9481" width="5.140625" style="501" customWidth="1"/>
    <col min="9482" max="9728" width="11.42578125" style="501"/>
    <col min="9729" max="9729" width="20.28515625" style="501" customWidth="1"/>
    <col min="9730" max="9730" width="83.140625" style="501" customWidth="1"/>
    <col min="9731" max="9733" width="21.42578125" style="501" customWidth="1"/>
    <col min="9734" max="9734" width="19.5703125" style="501" customWidth="1"/>
    <col min="9735" max="9735" width="2.42578125" style="501" customWidth="1"/>
    <col min="9736" max="9737" width="5.140625" style="501" customWidth="1"/>
    <col min="9738" max="9984" width="11.42578125" style="501"/>
    <col min="9985" max="9985" width="20.28515625" style="501" customWidth="1"/>
    <col min="9986" max="9986" width="83.140625" style="501" customWidth="1"/>
    <col min="9987" max="9989" width="21.42578125" style="501" customWidth="1"/>
    <col min="9990" max="9990" width="19.5703125" style="501" customWidth="1"/>
    <col min="9991" max="9991" width="2.42578125" style="501" customWidth="1"/>
    <col min="9992" max="9993" width="5.140625" style="501" customWidth="1"/>
    <col min="9994" max="10240" width="11.42578125" style="501"/>
    <col min="10241" max="10241" width="20.28515625" style="501" customWidth="1"/>
    <col min="10242" max="10242" width="83.140625" style="501" customWidth="1"/>
    <col min="10243" max="10245" width="21.42578125" style="501" customWidth="1"/>
    <col min="10246" max="10246" width="19.5703125" style="501" customWidth="1"/>
    <col min="10247" max="10247" width="2.42578125" style="501" customWidth="1"/>
    <col min="10248" max="10249" width="5.140625" style="501" customWidth="1"/>
    <col min="10250" max="10496" width="11.42578125" style="501"/>
    <col min="10497" max="10497" width="20.28515625" style="501" customWidth="1"/>
    <col min="10498" max="10498" width="83.140625" style="501" customWidth="1"/>
    <col min="10499" max="10501" width="21.42578125" style="501" customWidth="1"/>
    <col min="10502" max="10502" width="19.5703125" style="501" customWidth="1"/>
    <col min="10503" max="10503" width="2.42578125" style="501" customWidth="1"/>
    <col min="10504" max="10505" width="5.140625" style="501" customWidth="1"/>
    <col min="10506" max="10752" width="11.42578125" style="501"/>
    <col min="10753" max="10753" width="20.28515625" style="501" customWidth="1"/>
    <col min="10754" max="10754" width="83.140625" style="501" customWidth="1"/>
    <col min="10755" max="10757" width="21.42578125" style="501" customWidth="1"/>
    <col min="10758" max="10758" width="19.5703125" style="501" customWidth="1"/>
    <col min="10759" max="10759" width="2.42578125" style="501" customWidth="1"/>
    <col min="10760" max="10761" width="5.140625" style="501" customWidth="1"/>
    <col min="10762" max="11008" width="11.42578125" style="501"/>
    <col min="11009" max="11009" width="20.28515625" style="501" customWidth="1"/>
    <col min="11010" max="11010" width="83.140625" style="501" customWidth="1"/>
    <col min="11011" max="11013" width="21.42578125" style="501" customWidth="1"/>
    <col min="11014" max="11014" width="19.5703125" style="501" customWidth="1"/>
    <col min="11015" max="11015" width="2.42578125" style="501" customWidth="1"/>
    <col min="11016" max="11017" width="5.140625" style="501" customWidth="1"/>
    <col min="11018" max="11264" width="11.42578125" style="501"/>
    <col min="11265" max="11265" width="20.28515625" style="501" customWidth="1"/>
    <col min="11266" max="11266" width="83.140625" style="501" customWidth="1"/>
    <col min="11267" max="11269" width="21.42578125" style="501" customWidth="1"/>
    <col min="11270" max="11270" width="19.5703125" style="501" customWidth="1"/>
    <col min="11271" max="11271" width="2.42578125" style="501" customWidth="1"/>
    <col min="11272" max="11273" width="5.140625" style="501" customWidth="1"/>
    <col min="11274" max="11520" width="11.42578125" style="501"/>
    <col min="11521" max="11521" width="20.28515625" style="501" customWidth="1"/>
    <col min="11522" max="11522" width="83.140625" style="501" customWidth="1"/>
    <col min="11523" max="11525" width="21.42578125" style="501" customWidth="1"/>
    <col min="11526" max="11526" width="19.5703125" style="501" customWidth="1"/>
    <col min="11527" max="11527" width="2.42578125" style="501" customWidth="1"/>
    <col min="11528" max="11529" width="5.140625" style="501" customWidth="1"/>
    <col min="11530" max="11776" width="11.42578125" style="501"/>
    <col min="11777" max="11777" width="20.28515625" style="501" customWidth="1"/>
    <col min="11778" max="11778" width="83.140625" style="501" customWidth="1"/>
    <col min="11779" max="11781" width="21.42578125" style="501" customWidth="1"/>
    <col min="11782" max="11782" width="19.5703125" style="501" customWidth="1"/>
    <col min="11783" max="11783" width="2.42578125" style="501" customWidth="1"/>
    <col min="11784" max="11785" width="5.140625" style="501" customWidth="1"/>
    <col min="11786" max="12032" width="11.42578125" style="501"/>
    <col min="12033" max="12033" width="20.28515625" style="501" customWidth="1"/>
    <col min="12034" max="12034" width="83.140625" style="501" customWidth="1"/>
    <col min="12035" max="12037" width="21.42578125" style="501" customWidth="1"/>
    <col min="12038" max="12038" width="19.5703125" style="501" customWidth="1"/>
    <col min="12039" max="12039" width="2.42578125" style="501" customWidth="1"/>
    <col min="12040" max="12041" width="5.140625" style="501" customWidth="1"/>
    <col min="12042" max="12288" width="11.42578125" style="501"/>
    <col min="12289" max="12289" width="20.28515625" style="501" customWidth="1"/>
    <col min="12290" max="12290" width="83.140625" style="501" customWidth="1"/>
    <col min="12291" max="12293" width="21.42578125" style="501" customWidth="1"/>
    <col min="12294" max="12294" width="19.5703125" style="501" customWidth="1"/>
    <col min="12295" max="12295" width="2.42578125" style="501" customWidth="1"/>
    <col min="12296" max="12297" width="5.140625" style="501" customWidth="1"/>
    <col min="12298" max="12544" width="11.42578125" style="501"/>
    <col min="12545" max="12545" width="20.28515625" style="501" customWidth="1"/>
    <col min="12546" max="12546" width="83.140625" style="501" customWidth="1"/>
    <col min="12547" max="12549" width="21.42578125" style="501" customWidth="1"/>
    <col min="12550" max="12550" width="19.5703125" style="501" customWidth="1"/>
    <col min="12551" max="12551" width="2.42578125" style="501" customWidth="1"/>
    <col min="12552" max="12553" width="5.140625" style="501" customWidth="1"/>
    <col min="12554" max="12800" width="11.42578125" style="501"/>
    <col min="12801" max="12801" width="20.28515625" style="501" customWidth="1"/>
    <col min="12802" max="12802" width="83.140625" style="501" customWidth="1"/>
    <col min="12803" max="12805" width="21.42578125" style="501" customWidth="1"/>
    <col min="12806" max="12806" width="19.5703125" style="501" customWidth="1"/>
    <col min="12807" max="12807" width="2.42578125" style="501" customWidth="1"/>
    <col min="12808" max="12809" width="5.140625" style="501" customWidth="1"/>
    <col min="12810" max="13056" width="11.42578125" style="501"/>
    <col min="13057" max="13057" width="20.28515625" style="501" customWidth="1"/>
    <col min="13058" max="13058" width="83.140625" style="501" customWidth="1"/>
    <col min="13059" max="13061" width="21.42578125" style="501" customWidth="1"/>
    <col min="13062" max="13062" width="19.5703125" style="501" customWidth="1"/>
    <col min="13063" max="13063" width="2.42578125" style="501" customWidth="1"/>
    <col min="13064" max="13065" width="5.140625" style="501" customWidth="1"/>
    <col min="13066" max="13312" width="11.42578125" style="501"/>
    <col min="13313" max="13313" width="20.28515625" style="501" customWidth="1"/>
    <col min="13314" max="13314" width="83.140625" style="501" customWidth="1"/>
    <col min="13315" max="13317" width="21.42578125" style="501" customWidth="1"/>
    <col min="13318" max="13318" width="19.5703125" style="501" customWidth="1"/>
    <col min="13319" max="13319" width="2.42578125" style="501" customWidth="1"/>
    <col min="13320" max="13321" width="5.140625" style="501" customWidth="1"/>
    <col min="13322" max="13568" width="11.42578125" style="501"/>
    <col min="13569" max="13569" width="20.28515625" style="501" customWidth="1"/>
    <col min="13570" max="13570" width="83.140625" style="501" customWidth="1"/>
    <col min="13571" max="13573" width="21.42578125" style="501" customWidth="1"/>
    <col min="13574" max="13574" width="19.5703125" style="501" customWidth="1"/>
    <col min="13575" max="13575" width="2.42578125" style="501" customWidth="1"/>
    <col min="13576" max="13577" width="5.140625" style="501" customWidth="1"/>
    <col min="13578" max="13824" width="11.42578125" style="501"/>
    <col min="13825" max="13825" width="20.28515625" style="501" customWidth="1"/>
    <col min="13826" max="13826" width="83.140625" style="501" customWidth="1"/>
    <col min="13827" max="13829" width="21.42578125" style="501" customWidth="1"/>
    <col min="13830" max="13830" width="19.5703125" style="501" customWidth="1"/>
    <col min="13831" max="13831" width="2.42578125" style="501" customWidth="1"/>
    <col min="13832" max="13833" width="5.140625" style="501" customWidth="1"/>
    <col min="13834" max="14080" width="11.42578125" style="501"/>
    <col min="14081" max="14081" width="20.28515625" style="501" customWidth="1"/>
    <col min="14082" max="14082" width="83.140625" style="501" customWidth="1"/>
    <col min="14083" max="14085" width="21.42578125" style="501" customWidth="1"/>
    <col min="14086" max="14086" width="19.5703125" style="501" customWidth="1"/>
    <col min="14087" max="14087" width="2.42578125" style="501" customWidth="1"/>
    <col min="14088" max="14089" width="5.140625" style="501" customWidth="1"/>
    <col min="14090" max="14336" width="11.42578125" style="501"/>
    <col min="14337" max="14337" width="20.28515625" style="501" customWidth="1"/>
    <col min="14338" max="14338" width="83.140625" style="501" customWidth="1"/>
    <col min="14339" max="14341" width="21.42578125" style="501" customWidth="1"/>
    <col min="14342" max="14342" width="19.5703125" style="501" customWidth="1"/>
    <col min="14343" max="14343" width="2.42578125" style="501" customWidth="1"/>
    <col min="14344" max="14345" width="5.140625" style="501" customWidth="1"/>
    <col min="14346" max="14592" width="11.42578125" style="501"/>
    <col min="14593" max="14593" width="20.28515625" style="501" customWidth="1"/>
    <col min="14594" max="14594" width="83.140625" style="501" customWidth="1"/>
    <col min="14595" max="14597" width="21.42578125" style="501" customWidth="1"/>
    <col min="14598" max="14598" width="19.5703125" style="501" customWidth="1"/>
    <col min="14599" max="14599" width="2.42578125" style="501" customWidth="1"/>
    <col min="14600" max="14601" width="5.140625" style="501" customWidth="1"/>
    <col min="14602" max="14848" width="11.42578125" style="501"/>
    <col min="14849" max="14849" width="20.28515625" style="501" customWidth="1"/>
    <col min="14850" max="14850" width="83.140625" style="501" customWidth="1"/>
    <col min="14851" max="14853" width="21.42578125" style="501" customWidth="1"/>
    <col min="14854" max="14854" width="19.5703125" style="501" customWidth="1"/>
    <col min="14855" max="14855" width="2.42578125" style="501" customWidth="1"/>
    <col min="14856" max="14857" width="5.140625" style="501" customWidth="1"/>
    <col min="14858" max="15104" width="11.42578125" style="501"/>
    <col min="15105" max="15105" width="20.28515625" style="501" customWidth="1"/>
    <col min="15106" max="15106" width="83.140625" style="501" customWidth="1"/>
    <col min="15107" max="15109" width="21.42578125" style="501" customWidth="1"/>
    <col min="15110" max="15110" width="19.5703125" style="501" customWidth="1"/>
    <col min="15111" max="15111" width="2.42578125" style="501" customWidth="1"/>
    <col min="15112" max="15113" width="5.140625" style="501" customWidth="1"/>
    <col min="15114" max="15360" width="11.42578125" style="501"/>
    <col min="15361" max="15361" width="20.28515625" style="501" customWidth="1"/>
    <col min="15362" max="15362" width="83.140625" style="501" customWidth="1"/>
    <col min="15363" max="15365" width="21.42578125" style="501" customWidth="1"/>
    <col min="15366" max="15366" width="19.5703125" style="501" customWidth="1"/>
    <col min="15367" max="15367" width="2.42578125" style="501" customWidth="1"/>
    <col min="15368" max="15369" width="5.140625" style="501" customWidth="1"/>
    <col min="15370" max="15616" width="11.42578125" style="501"/>
    <col min="15617" max="15617" width="20.28515625" style="501" customWidth="1"/>
    <col min="15618" max="15618" width="83.140625" style="501" customWidth="1"/>
    <col min="15619" max="15621" width="21.42578125" style="501" customWidth="1"/>
    <col min="15622" max="15622" width="19.5703125" style="501" customWidth="1"/>
    <col min="15623" max="15623" width="2.42578125" style="501" customWidth="1"/>
    <col min="15624" max="15625" width="5.140625" style="501" customWidth="1"/>
    <col min="15626" max="15872" width="11.42578125" style="501"/>
    <col min="15873" max="15873" width="20.28515625" style="501" customWidth="1"/>
    <col min="15874" max="15874" width="83.140625" style="501" customWidth="1"/>
    <col min="15875" max="15877" width="21.42578125" style="501" customWidth="1"/>
    <col min="15878" max="15878" width="19.5703125" style="501" customWidth="1"/>
    <col min="15879" max="15879" width="2.42578125" style="501" customWidth="1"/>
    <col min="15880" max="15881" width="5.140625" style="501" customWidth="1"/>
    <col min="15882" max="16128" width="11.42578125" style="501"/>
    <col min="16129" max="16129" width="20.28515625" style="501" customWidth="1"/>
    <col min="16130" max="16130" width="83.140625" style="501" customWidth="1"/>
    <col min="16131" max="16133" width="21.42578125" style="501" customWidth="1"/>
    <col min="16134" max="16134" width="19.5703125" style="501" customWidth="1"/>
    <col min="16135" max="16135" width="2.42578125" style="501" customWidth="1"/>
    <col min="16136" max="16137" width="5.140625" style="501" customWidth="1"/>
    <col min="16138" max="16384" width="11.42578125" style="501"/>
  </cols>
  <sheetData>
    <row r="1" spans="1:7" ht="12.75" x14ac:dyDescent="0.2">
      <c r="A1" s="256" t="s">
        <v>0</v>
      </c>
      <c r="B1" s="257"/>
      <c r="C1" s="577" t="s">
        <v>1</v>
      </c>
      <c r="D1" s="578"/>
      <c r="E1" s="579"/>
      <c r="F1" s="258"/>
    </row>
    <row r="2" spans="1:7" ht="12.75" x14ac:dyDescent="0.2">
      <c r="A2" s="256" t="str">
        <f>CONCATENATE("COMUNA: ",[11]NOMBRE!B2," - ","( ",[11]NOMBRE!C2,[11]NOMBRE!D2,[11]NOMBRE!E2,[11]NOMBRE!F2,[11]NOMBRE!G2," )")</f>
        <v>COMUNA: LINARES  - ( 07401 )</v>
      </c>
      <c r="B2" s="257"/>
      <c r="C2" s="580"/>
      <c r="D2" s="581"/>
      <c r="E2" s="582"/>
      <c r="F2" s="259"/>
      <c r="G2" s="260"/>
    </row>
    <row r="3" spans="1:7" ht="12.75" x14ac:dyDescent="0.2">
      <c r="A3" s="256" t="str">
        <f>CONCATENATE("ESTABLECIMIENTO/ESTRATEGIA: ",[11]NOMBRE!B3," - ","( ",[11]NOMBRE!C3,[11]NOMBRE!D3,[11]NOMBRE!E3,[11]NOMBRE!F3,[11]NOMBRE!G3,[11]NOMBRE!H3," )")</f>
        <v>ESTABLECIMIENTO/ESTRATEGIA: HOSPITAL DE LINARES  - ( 116108 )</v>
      </c>
      <c r="B3" s="257"/>
      <c r="C3" s="577" t="s">
        <v>2</v>
      </c>
      <c r="D3" s="578"/>
      <c r="E3" s="579"/>
      <c r="F3" s="259"/>
      <c r="G3" s="261"/>
    </row>
    <row r="4" spans="1:7" ht="12.75" x14ac:dyDescent="0.2">
      <c r="A4" s="256" t="str">
        <f>CONCATENATE("MES: ",[11]NOMBRE!B6," - ","( ",[11]NOMBRE!C6,[11]NOMBRE!D6," )")</f>
        <v>MES: NOVIEMBRE - ( 11 )</v>
      </c>
      <c r="B4" s="257"/>
      <c r="C4" s="580" t="str">
        <f>CONCATENATE([11]NOMBRE!B6," ","( ",[11]NOMBRE!C6,[11]NOMBRE!D6," )")</f>
        <v>NOVIEMBRE ( 11 )</v>
      </c>
      <c r="D4" s="581"/>
      <c r="E4" s="582"/>
      <c r="F4" s="259"/>
      <c r="G4" s="261"/>
    </row>
    <row r="5" spans="1:7" ht="12.75" x14ac:dyDescent="0.2">
      <c r="A5" s="256" t="str">
        <f>CONCATENATE("AÑO: ",[11]NOMBRE!B7)</f>
        <v>AÑO: 2014</v>
      </c>
      <c r="B5" s="257"/>
      <c r="C5" s="577" t="s">
        <v>3</v>
      </c>
      <c r="D5" s="578"/>
      <c r="E5" s="579"/>
      <c r="F5" s="259"/>
      <c r="G5" s="261"/>
    </row>
    <row r="6" spans="1:7" ht="12.75" x14ac:dyDescent="0.2">
      <c r="A6" s="262"/>
      <c r="B6" s="262"/>
      <c r="C6" s="580">
        <f>[11]NOMBRE!B7</f>
        <v>2014</v>
      </c>
      <c r="D6" s="581"/>
      <c r="E6" s="582"/>
      <c r="F6" s="259"/>
      <c r="G6" s="261"/>
    </row>
    <row r="7" spans="1:7" ht="15" x14ac:dyDescent="0.2">
      <c r="A7" s="589" t="s">
        <v>4</v>
      </c>
      <c r="B7" s="590"/>
      <c r="C7" s="594" t="s">
        <v>5</v>
      </c>
      <c r="D7" s="595"/>
      <c r="E7" s="596"/>
      <c r="F7" s="259"/>
      <c r="G7" s="261"/>
    </row>
    <row r="8" spans="1:7" ht="15" x14ac:dyDescent="0.2">
      <c r="A8" s="262"/>
      <c r="B8" s="540" t="s">
        <v>6</v>
      </c>
      <c r="C8" s="580" t="str">
        <f>CONCATENATE([11]NOMBRE!B3," ","( ",[11]NOMBRE!C3,[11]NOMBRE!D3,[11]NOMBRE!E3,[11]NOMBRE!F3,[11]NOMBRE!G3," )")</f>
        <v>HOSPITAL DE LINARES  ( 11610 )</v>
      </c>
      <c r="D8" s="581"/>
      <c r="E8" s="582"/>
      <c r="F8" s="259"/>
      <c r="G8" s="261"/>
    </row>
    <row r="9" spans="1:7" ht="12.75" x14ac:dyDescent="0.2">
      <c r="A9" s="262"/>
      <c r="B9" s="262"/>
      <c r="C9" s="262"/>
      <c r="D9" s="262"/>
      <c r="E9" s="262"/>
      <c r="F9" s="259"/>
      <c r="G9" s="261"/>
    </row>
    <row r="10" spans="1:7" ht="12.75" x14ac:dyDescent="0.2">
      <c r="A10" s="262"/>
      <c r="B10" s="262"/>
      <c r="C10" s="262"/>
      <c r="D10" s="262"/>
      <c r="E10" s="262"/>
      <c r="F10" s="259"/>
      <c r="G10" s="263"/>
    </row>
    <row r="11" spans="1:7" ht="12.75" x14ac:dyDescent="0.2">
      <c r="A11" s="583" t="s">
        <v>7</v>
      </c>
      <c r="B11" s="584"/>
      <c r="C11" s="584"/>
      <c r="D11" s="584"/>
      <c r="E11" s="585"/>
      <c r="F11" s="259"/>
    </row>
    <row r="12" spans="1:7" ht="43.5" customHeight="1" x14ac:dyDescent="0.2">
      <c r="A12" s="264" t="s">
        <v>8</v>
      </c>
      <c r="B12" s="264" t="s">
        <v>9</v>
      </c>
      <c r="C12" s="535" t="s">
        <v>10</v>
      </c>
      <c r="D12" s="310" t="s">
        <v>11</v>
      </c>
      <c r="E12" s="537" t="s">
        <v>12</v>
      </c>
      <c r="F12" s="262"/>
    </row>
    <row r="13" spans="1:7" ht="12.75" customHeight="1" x14ac:dyDescent="0.2">
      <c r="A13" s="586" t="s">
        <v>13</v>
      </c>
      <c r="B13" s="587"/>
      <c r="C13" s="587"/>
      <c r="D13" s="587"/>
      <c r="E13" s="588"/>
      <c r="F13" s="262"/>
    </row>
    <row r="14" spans="1:7" ht="15" customHeight="1" x14ac:dyDescent="0.2">
      <c r="A14" s="434" t="s">
        <v>14</v>
      </c>
      <c r="B14" s="443" t="s">
        <v>15</v>
      </c>
      <c r="C14" s="380">
        <f>[11]BS17A!$D13</f>
        <v>0</v>
      </c>
      <c r="D14" s="267">
        <f>[11]BS17A!$U13</f>
        <v>4170</v>
      </c>
      <c r="E14" s="268">
        <f>[11]BS17A!$V13</f>
        <v>0</v>
      </c>
      <c r="F14" s="262"/>
    </row>
    <row r="15" spans="1:7" ht="15" customHeight="1" x14ac:dyDescent="0.2">
      <c r="A15" s="435" t="s">
        <v>16</v>
      </c>
      <c r="B15" s="431" t="s">
        <v>17</v>
      </c>
      <c r="C15" s="380">
        <f>[11]BS17A!$D14</f>
        <v>0</v>
      </c>
      <c r="D15" s="270">
        <f>[11]BS17A!$U14</f>
        <v>5240</v>
      </c>
      <c r="E15" s="271">
        <f>[11]BS17A!$V14</f>
        <v>0</v>
      </c>
      <c r="F15" s="262"/>
    </row>
    <row r="16" spans="1:7" ht="15" customHeight="1" x14ac:dyDescent="0.2">
      <c r="A16" s="435" t="s">
        <v>18</v>
      </c>
      <c r="B16" s="431" t="s">
        <v>19</v>
      </c>
      <c r="C16" s="380">
        <f>[11]BS17A!$D15</f>
        <v>6327</v>
      </c>
      <c r="D16" s="270">
        <f>[11]BS17A!$U15</f>
        <v>11250</v>
      </c>
      <c r="E16" s="271">
        <f>[11]BS17A!$V15</f>
        <v>71178750</v>
      </c>
      <c r="F16" s="262"/>
    </row>
    <row r="17" spans="1:6" ht="15" customHeight="1" x14ac:dyDescent="0.2">
      <c r="A17" s="435" t="s">
        <v>20</v>
      </c>
      <c r="B17" s="431" t="s">
        <v>21</v>
      </c>
      <c r="C17" s="380">
        <f>[11]BS17A!$D16</f>
        <v>0</v>
      </c>
      <c r="D17" s="270">
        <f>[11]BS17A!$U16</f>
        <v>6720</v>
      </c>
      <c r="E17" s="271">
        <f>[11]BS17A!$V16</f>
        <v>0</v>
      </c>
      <c r="F17" s="262"/>
    </row>
    <row r="18" spans="1:6" ht="15" customHeight="1" x14ac:dyDescent="0.2">
      <c r="A18" s="435" t="s">
        <v>22</v>
      </c>
      <c r="B18" s="431" t="s">
        <v>23</v>
      </c>
      <c r="C18" s="380">
        <f>[11]BS17A!$D17</f>
        <v>0</v>
      </c>
      <c r="D18" s="270">
        <f>[11]BS17A!$U17</f>
        <v>7370</v>
      </c>
      <c r="E18" s="271">
        <f>[11]BS17A!$V17</f>
        <v>0</v>
      </c>
      <c r="F18" s="262"/>
    </row>
    <row r="19" spans="1:6" ht="33" customHeight="1" x14ac:dyDescent="0.2">
      <c r="A19" s="435" t="s">
        <v>24</v>
      </c>
      <c r="B19" s="485" t="s">
        <v>25</v>
      </c>
      <c r="C19" s="380">
        <f>[11]BS17A!$D20</f>
        <v>0</v>
      </c>
      <c r="D19" s="270">
        <f>[11]BS17A!$U20</f>
        <v>5690</v>
      </c>
      <c r="E19" s="271">
        <f>[11]BS17A!$V20</f>
        <v>0</v>
      </c>
      <c r="F19" s="262"/>
    </row>
    <row r="20" spans="1:6" ht="42.75" customHeight="1" x14ac:dyDescent="0.2">
      <c r="A20" s="435" t="s">
        <v>26</v>
      </c>
      <c r="B20" s="485" t="s">
        <v>27</v>
      </c>
      <c r="C20" s="380">
        <f>[11]BS17A!$D21</f>
        <v>0</v>
      </c>
      <c r="D20" s="270">
        <f>[11]BS17A!$U21</f>
        <v>6820</v>
      </c>
      <c r="E20" s="271">
        <f>[11]BS17A!$V21</f>
        <v>0</v>
      </c>
      <c r="F20" s="262"/>
    </row>
    <row r="21" spans="1:6" ht="42.75" customHeight="1" x14ac:dyDescent="0.2">
      <c r="A21" s="435" t="s">
        <v>28</v>
      </c>
      <c r="B21" s="485" t="s">
        <v>29</v>
      </c>
      <c r="C21" s="380">
        <f>[11]BS17A!$D22</f>
        <v>0</v>
      </c>
      <c r="D21" s="270">
        <f>[11]BS17A!$U22</f>
        <v>8460</v>
      </c>
      <c r="E21" s="271">
        <f>[11]BS17A!$V22</f>
        <v>0</v>
      </c>
      <c r="F21" s="262"/>
    </row>
    <row r="22" spans="1:6" ht="32.25" customHeight="1" x14ac:dyDescent="0.2">
      <c r="A22" s="435" t="s">
        <v>30</v>
      </c>
      <c r="B22" s="485" t="s">
        <v>31</v>
      </c>
      <c r="C22" s="380">
        <f>[11]BS17A!$D23</f>
        <v>2134</v>
      </c>
      <c r="D22" s="270">
        <f>[11]BS17A!$U23</f>
        <v>5690</v>
      </c>
      <c r="E22" s="271">
        <f>[11]BS17A!$V23</f>
        <v>12142460</v>
      </c>
      <c r="F22" s="262"/>
    </row>
    <row r="23" spans="1:6" ht="40.5" customHeight="1" x14ac:dyDescent="0.2">
      <c r="A23" s="435" t="s">
        <v>32</v>
      </c>
      <c r="B23" s="485" t="s">
        <v>33</v>
      </c>
      <c r="C23" s="380">
        <f>[11]BS17A!$D24</f>
        <v>1439</v>
      </c>
      <c r="D23" s="270">
        <f>[11]BS17A!$U24</f>
        <v>6820</v>
      </c>
      <c r="E23" s="271">
        <f>[11]BS17A!$V24</f>
        <v>9813980</v>
      </c>
      <c r="F23" s="262"/>
    </row>
    <row r="24" spans="1:6" ht="27" customHeight="1" x14ac:dyDescent="0.2">
      <c r="A24" s="435" t="s">
        <v>34</v>
      </c>
      <c r="B24" s="485" t="s">
        <v>35</v>
      </c>
      <c r="C24" s="380">
        <f>[11]BS17A!$D25</f>
        <v>2395</v>
      </c>
      <c r="D24" s="270">
        <f>[11]BS17A!$U25</f>
        <v>8460</v>
      </c>
      <c r="E24" s="271">
        <f>[11]BS17A!$V25</f>
        <v>20261700</v>
      </c>
      <c r="F24" s="262"/>
    </row>
    <row r="25" spans="1:6" ht="15" customHeight="1" x14ac:dyDescent="0.2">
      <c r="A25" s="435" t="s">
        <v>36</v>
      </c>
      <c r="B25" s="430" t="s">
        <v>37</v>
      </c>
      <c r="C25" s="380">
        <f>+[11]BS17A!$D795</f>
        <v>245</v>
      </c>
      <c r="D25" s="270">
        <f>+[11]BS17A!$U795</f>
        <v>6900</v>
      </c>
      <c r="E25" s="271">
        <f>+[11]BS17A!$V795</f>
        <v>1690500</v>
      </c>
      <c r="F25" s="262"/>
    </row>
    <row r="26" spans="1:6" ht="15" customHeight="1" x14ac:dyDescent="0.2">
      <c r="A26" s="436" t="s">
        <v>38</v>
      </c>
      <c r="B26" s="450" t="s">
        <v>39</v>
      </c>
      <c r="C26" s="395">
        <f>+[11]BS17A!$D800</f>
        <v>0</v>
      </c>
      <c r="D26" s="272">
        <f>+[11]BS17A!$U800</f>
        <v>28580</v>
      </c>
      <c r="E26" s="273">
        <f>+[11]BS17A!$V800</f>
        <v>0</v>
      </c>
      <c r="F26" s="262"/>
    </row>
    <row r="27" spans="1:6" ht="18" customHeight="1" x14ac:dyDescent="0.2">
      <c r="A27" s="586" t="s">
        <v>40</v>
      </c>
      <c r="B27" s="587"/>
      <c r="C27" s="587"/>
      <c r="D27" s="587"/>
      <c r="E27" s="588"/>
      <c r="F27" s="262"/>
    </row>
    <row r="28" spans="1:6" ht="15" customHeight="1" x14ac:dyDescent="0.2">
      <c r="A28" s="434" t="s">
        <v>41</v>
      </c>
      <c r="B28" s="443" t="s">
        <v>42</v>
      </c>
      <c r="C28" s="383">
        <f>[11]BS17A!$D27</f>
        <v>1696</v>
      </c>
      <c r="D28" s="267">
        <f>[11]BS17A!$U27</f>
        <v>1110</v>
      </c>
      <c r="E28" s="268">
        <f>[11]BS17A!$V27</f>
        <v>1882560</v>
      </c>
      <c r="F28" s="262"/>
    </row>
    <row r="29" spans="1:6" ht="15" customHeight="1" x14ac:dyDescent="0.2">
      <c r="A29" s="435" t="s">
        <v>43</v>
      </c>
      <c r="B29" s="449" t="s">
        <v>44</v>
      </c>
      <c r="C29" s="380">
        <f>[11]BS17A!$D28</f>
        <v>0</v>
      </c>
      <c r="D29" s="270">
        <f>[11]BS17A!$U28</f>
        <v>1900</v>
      </c>
      <c r="E29" s="271">
        <f>[11]BS17A!$V28</f>
        <v>0</v>
      </c>
      <c r="F29" s="262"/>
    </row>
    <row r="30" spans="1:6" ht="15" customHeight="1" x14ac:dyDescent="0.2">
      <c r="A30" s="435" t="s">
        <v>45</v>
      </c>
      <c r="B30" s="431" t="s">
        <v>46</v>
      </c>
      <c r="C30" s="380">
        <f>[11]BS17A!$D29</f>
        <v>0</v>
      </c>
      <c r="D30" s="270">
        <f>[11]BS17A!$U29</f>
        <v>610</v>
      </c>
      <c r="E30" s="271">
        <f>[11]BS17A!$V29</f>
        <v>0</v>
      </c>
      <c r="F30" s="262"/>
    </row>
    <row r="31" spans="1:6" ht="15" customHeight="1" x14ac:dyDescent="0.2">
      <c r="A31" s="435" t="s">
        <v>47</v>
      </c>
      <c r="B31" s="431" t="s">
        <v>48</v>
      </c>
      <c r="C31" s="380">
        <f>[11]BS17A!$D30</f>
        <v>108</v>
      </c>
      <c r="D31" s="270">
        <f>[11]BS17A!$U30</f>
        <v>1500</v>
      </c>
      <c r="E31" s="271">
        <f>[11]BS17A!$V30</f>
        <v>162000</v>
      </c>
      <c r="F31" s="262"/>
    </row>
    <row r="32" spans="1:6" ht="15" customHeight="1" x14ac:dyDescent="0.2">
      <c r="A32" s="435" t="s">
        <v>49</v>
      </c>
      <c r="B32" s="431" t="s">
        <v>50</v>
      </c>
      <c r="C32" s="380">
        <f>[11]BS17A!$D31</f>
        <v>1154</v>
      </c>
      <c r="D32" s="270">
        <f>[11]BS17A!$U31</f>
        <v>1210</v>
      </c>
      <c r="E32" s="271">
        <f>[11]BS17A!$V31</f>
        <v>1396340</v>
      </c>
      <c r="F32" s="262"/>
    </row>
    <row r="33" spans="1:6" ht="15" customHeight="1" x14ac:dyDescent="0.2">
      <c r="A33" s="435" t="s">
        <v>51</v>
      </c>
      <c r="B33" s="449" t="s">
        <v>52</v>
      </c>
      <c r="C33" s="380">
        <f>[11]BS17A!$D32</f>
        <v>0</v>
      </c>
      <c r="D33" s="270">
        <f>[11]BS17A!$U32</f>
        <v>1110</v>
      </c>
      <c r="E33" s="271">
        <f>[11]BS17A!$V32</f>
        <v>0</v>
      </c>
      <c r="F33" s="262"/>
    </row>
    <row r="34" spans="1:6" ht="15" customHeight="1" x14ac:dyDescent="0.2">
      <c r="A34" s="435" t="s">
        <v>53</v>
      </c>
      <c r="B34" s="431" t="s">
        <v>54</v>
      </c>
      <c r="C34" s="380">
        <f>+[11]BS17A!$D796</f>
        <v>324</v>
      </c>
      <c r="D34" s="270">
        <f>+[11]BS17A!$U796</f>
        <v>2700</v>
      </c>
      <c r="E34" s="271">
        <f>+[11]BS17A!$V796</f>
        <v>874800</v>
      </c>
      <c r="F34" s="262"/>
    </row>
    <row r="35" spans="1:6" ht="15" customHeight="1" x14ac:dyDescent="0.2">
      <c r="A35" s="435" t="s">
        <v>55</v>
      </c>
      <c r="B35" s="449" t="s">
        <v>56</v>
      </c>
      <c r="C35" s="380">
        <f>+[11]BS17A!$D797</f>
        <v>535</v>
      </c>
      <c r="D35" s="270">
        <f>+[11]BS17A!$U797</f>
        <v>2700</v>
      </c>
      <c r="E35" s="271">
        <f>+[11]BS17A!$V797</f>
        <v>1444500</v>
      </c>
      <c r="F35" s="262"/>
    </row>
    <row r="36" spans="1:6" ht="15" customHeight="1" x14ac:dyDescent="0.2">
      <c r="A36" s="435" t="s">
        <v>57</v>
      </c>
      <c r="B36" s="449" t="s">
        <v>58</v>
      </c>
      <c r="C36" s="380">
        <f>+[11]BS17A!$D798</f>
        <v>3</v>
      </c>
      <c r="D36" s="270">
        <f>+[11]BS17A!$U798</f>
        <v>10760</v>
      </c>
      <c r="E36" s="271">
        <f>+[11]BS17A!$V798</f>
        <v>32280</v>
      </c>
      <c r="F36" s="262"/>
    </row>
    <row r="37" spans="1:6" ht="15" customHeight="1" x14ac:dyDescent="0.2">
      <c r="A37" s="436" t="s">
        <v>59</v>
      </c>
      <c r="B37" s="484" t="s">
        <v>60</v>
      </c>
      <c r="C37" s="395">
        <f>+[11]BS17A!$D799</f>
        <v>27</v>
      </c>
      <c r="D37" s="272">
        <f>+[11]BS17A!$U799</f>
        <v>12600</v>
      </c>
      <c r="E37" s="273">
        <f>+[11]BS17A!$V799</f>
        <v>340200</v>
      </c>
      <c r="F37" s="262"/>
    </row>
    <row r="38" spans="1:6" ht="18" customHeight="1" x14ac:dyDescent="0.2">
      <c r="A38" s="591" t="s">
        <v>61</v>
      </c>
      <c r="B38" s="592"/>
      <c r="C38" s="592"/>
      <c r="D38" s="592"/>
      <c r="E38" s="593"/>
      <c r="F38" s="262"/>
    </row>
    <row r="39" spans="1:6" ht="15" customHeight="1" x14ac:dyDescent="0.2">
      <c r="A39" s="434" t="s">
        <v>62</v>
      </c>
      <c r="B39" s="429" t="s">
        <v>63</v>
      </c>
      <c r="C39" s="383">
        <f>+[11]BS17A!$D801</f>
        <v>0</v>
      </c>
      <c r="D39" s="275">
        <f>+[11]BS17A!$U801</f>
        <v>3550</v>
      </c>
      <c r="E39" s="276">
        <f>+[11]BS17A!$V801</f>
        <v>0</v>
      </c>
      <c r="F39" s="262"/>
    </row>
    <row r="40" spans="1:6" ht="15" customHeight="1" x14ac:dyDescent="0.2">
      <c r="A40" s="436" t="s">
        <v>64</v>
      </c>
      <c r="B40" s="444" t="s">
        <v>65</v>
      </c>
      <c r="C40" s="395">
        <f>+[11]BS17A!$D802</f>
        <v>0</v>
      </c>
      <c r="D40" s="277">
        <f>+[11]BS17A!$U802</f>
        <v>9180</v>
      </c>
      <c r="E40" s="278">
        <f>+[11]BS17A!$V802</f>
        <v>0</v>
      </c>
      <c r="F40" s="262"/>
    </row>
    <row r="41" spans="1:6" ht="18" customHeight="1" x14ac:dyDescent="0.2">
      <c r="A41" s="591" t="s">
        <v>66</v>
      </c>
      <c r="B41" s="592"/>
      <c r="C41" s="592"/>
      <c r="D41" s="592"/>
      <c r="E41" s="593"/>
      <c r="F41" s="262"/>
    </row>
    <row r="42" spans="1:6" ht="15" customHeight="1" x14ac:dyDescent="0.2">
      <c r="A42" s="434" t="s">
        <v>67</v>
      </c>
      <c r="B42" s="451" t="s">
        <v>68</v>
      </c>
      <c r="C42" s="383">
        <f>+[11]BS17A!$D34</f>
        <v>65</v>
      </c>
      <c r="D42" s="275">
        <f>+[11]BS17A!$U34</f>
        <v>3640</v>
      </c>
      <c r="E42" s="276">
        <f>+[11]BS17A!$V34</f>
        <v>236600</v>
      </c>
      <c r="F42" s="262"/>
    </row>
    <row r="43" spans="1:6" ht="15" customHeight="1" x14ac:dyDescent="0.2">
      <c r="A43" s="435" t="s">
        <v>69</v>
      </c>
      <c r="B43" s="431" t="s">
        <v>70</v>
      </c>
      <c r="C43" s="380">
        <f>+[11]BS17A!$D35</f>
        <v>616</v>
      </c>
      <c r="D43" s="270">
        <f>+[11]BS17A!$U35</f>
        <v>2000</v>
      </c>
      <c r="E43" s="271">
        <f>+[11]BS17A!$V35</f>
        <v>1232000</v>
      </c>
      <c r="F43" s="262"/>
    </row>
    <row r="44" spans="1:6" ht="15" customHeight="1" x14ac:dyDescent="0.2">
      <c r="A44" s="435" t="s">
        <v>71</v>
      </c>
      <c r="B44" s="431" t="s">
        <v>72</v>
      </c>
      <c r="C44" s="380">
        <f>+[11]BS17A!$D36</f>
        <v>2</v>
      </c>
      <c r="D44" s="270">
        <f>+[11]BS17A!$U36</f>
        <v>2000</v>
      </c>
      <c r="E44" s="271">
        <f>+[11]BS17A!$V36</f>
        <v>4000</v>
      </c>
      <c r="F44" s="262"/>
    </row>
    <row r="45" spans="1:6" ht="15" customHeight="1" x14ac:dyDescent="0.2">
      <c r="A45" s="436" t="s">
        <v>73</v>
      </c>
      <c r="B45" s="432" t="s">
        <v>74</v>
      </c>
      <c r="C45" s="395">
        <f>+[11]BS17A!$D37</f>
        <v>587</v>
      </c>
      <c r="D45" s="277">
        <f>+[11]BS17A!$U37</f>
        <v>610</v>
      </c>
      <c r="E45" s="278">
        <f>+[11]BS17A!$V37</f>
        <v>358070</v>
      </c>
      <c r="F45" s="262"/>
    </row>
    <row r="46" spans="1:6" ht="18" customHeight="1" x14ac:dyDescent="0.2">
      <c r="A46" s="591" t="s">
        <v>75</v>
      </c>
      <c r="B46" s="592"/>
      <c r="C46" s="592"/>
      <c r="D46" s="592"/>
      <c r="E46" s="593"/>
      <c r="F46" s="262"/>
    </row>
    <row r="47" spans="1:6" ht="15" customHeight="1" x14ac:dyDescent="0.2">
      <c r="A47" s="434" t="s">
        <v>76</v>
      </c>
      <c r="B47" s="451" t="s">
        <v>77</v>
      </c>
      <c r="C47" s="383">
        <f>+[11]BS17A!$D39</f>
        <v>5</v>
      </c>
      <c r="D47" s="275">
        <f>+[11]BS17A!$U39</f>
        <v>1730</v>
      </c>
      <c r="E47" s="276">
        <f>+[11]BS17A!$V39</f>
        <v>8650</v>
      </c>
      <c r="F47" s="262"/>
    </row>
    <row r="48" spans="1:6" ht="15" customHeight="1" x14ac:dyDescent="0.2">
      <c r="A48" s="435" t="s">
        <v>78</v>
      </c>
      <c r="B48" s="431" t="s">
        <v>79</v>
      </c>
      <c r="C48" s="380">
        <f>+[11]BS17A!$D40</f>
        <v>23</v>
      </c>
      <c r="D48" s="270">
        <f>+[11]BS17A!$U40</f>
        <v>1730</v>
      </c>
      <c r="E48" s="271">
        <f>+[11]BS17A!$V40</f>
        <v>39790</v>
      </c>
      <c r="F48" s="262"/>
    </row>
    <row r="49" spans="1:7" ht="15" customHeight="1" x14ac:dyDescent="0.2">
      <c r="A49" s="436" t="s">
        <v>80</v>
      </c>
      <c r="B49" s="432" t="s">
        <v>81</v>
      </c>
      <c r="C49" s="395">
        <f>+[11]BS17A!$D41</f>
        <v>0</v>
      </c>
      <c r="D49" s="277">
        <f>+[11]BS17A!$U41</f>
        <v>1000</v>
      </c>
      <c r="E49" s="278">
        <f>+[11]BS17A!$V41</f>
        <v>0</v>
      </c>
      <c r="F49" s="262"/>
    </row>
    <row r="50" spans="1:7" ht="18" customHeight="1" x14ac:dyDescent="0.2">
      <c r="A50" s="279"/>
      <c r="B50" s="411" t="s">
        <v>82</v>
      </c>
      <c r="C50" s="279">
        <f>SUM(C14:C49)</f>
        <v>17685</v>
      </c>
      <c r="D50" s="280"/>
      <c r="E50" s="281">
        <f>SUM(E14:E49)</f>
        <v>123099180</v>
      </c>
      <c r="F50" s="262"/>
    </row>
    <row r="51" spans="1:7" ht="18" customHeight="1" x14ac:dyDescent="0.2">
      <c r="A51" s="282"/>
      <c r="B51" s="282"/>
      <c r="C51" s="282"/>
      <c r="D51" s="283"/>
      <c r="E51" s="284"/>
      <c r="F51" s="262"/>
    </row>
    <row r="52" spans="1:7" ht="12.75" x14ac:dyDescent="0.2">
      <c r="A52" s="262"/>
      <c r="B52" s="262"/>
      <c r="C52" s="262"/>
      <c r="D52" s="262"/>
      <c r="E52" s="262"/>
      <c r="F52" s="285"/>
      <c r="G52" s="286"/>
    </row>
    <row r="53" spans="1:7" ht="12.75" x14ac:dyDescent="0.2">
      <c r="A53" s="591" t="s">
        <v>83</v>
      </c>
      <c r="B53" s="592"/>
      <c r="C53" s="592"/>
      <c r="D53" s="592"/>
      <c r="E53" s="593"/>
      <c r="F53" s="285"/>
      <c r="G53" s="286"/>
    </row>
    <row r="54" spans="1:7" ht="42.75" customHeight="1" x14ac:dyDescent="0.2">
      <c r="A54" s="264" t="s">
        <v>8</v>
      </c>
      <c r="B54" s="264" t="s">
        <v>84</v>
      </c>
      <c r="C54" s="535" t="s">
        <v>10</v>
      </c>
      <c r="D54" s="311"/>
      <c r="E54" s="537" t="s">
        <v>12</v>
      </c>
      <c r="F54" s="262"/>
    </row>
    <row r="55" spans="1:7" ht="18" customHeight="1" x14ac:dyDescent="0.2">
      <c r="A55" s="538" t="s">
        <v>85</v>
      </c>
      <c r="B55" s="474" t="s">
        <v>86</v>
      </c>
      <c r="C55" s="316">
        <f>+[11]BS17!$D12</f>
        <v>60650</v>
      </c>
      <c r="D55" s="288"/>
      <c r="E55" s="289">
        <f>+E56+E57+E58+E59+E60+E61+E65+E66+E67</f>
        <v>82847240</v>
      </c>
      <c r="F55" s="262"/>
    </row>
    <row r="56" spans="1:7" ht="15" customHeight="1" x14ac:dyDescent="0.2">
      <c r="A56" s="472" t="s">
        <v>87</v>
      </c>
      <c r="B56" s="443" t="s">
        <v>88</v>
      </c>
      <c r="C56" s="426">
        <f>+[11]BS17!$D13</f>
        <v>24903</v>
      </c>
      <c r="D56" s="290"/>
      <c r="E56" s="291">
        <f>+[11]BS17A!V83</f>
        <v>25457760</v>
      </c>
      <c r="F56" s="262"/>
    </row>
    <row r="57" spans="1:7" ht="15" customHeight="1" x14ac:dyDescent="0.2">
      <c r="A57" s="435" t="s">
        <v>89</v>
      </c>
      <c r="B57" s="430" t="s">
        <v>90</v>
      </c>
      <c r="C57" s="380">
        <f>+[11]BS17!$D14</f>
        <v>25630</v>
      </c>
      <c r="D57" s="293"/>
      <c r="E57" s="294">
        <f>+[11]BS17A!V174</f>
        <v>30284310</v>
      </c>
      <c r="F57" s="262"/>
    </row>
    <row r="58" spans="1:7" ht="15" customHeight="1" x14ac:dyDescent="0.2">
      <c r="A58" s="435" t="s">
        <v>91</v>
      </c>
      <c r="B58" s="430" t="s">
        <v>92</v>
      </c>
      <c r="C58" s="380">
        <f>+[11]BS17!$D15</f>
        <v>1038</v>
      </c>
      <c r="D58" s="293"/>
      <c r="E58" s="294">
        <f>+[11]BS17A!V243</f>
        <v>3634020</v>
      </c>
      <c r="F58" s="262"/>
    </row>
    <row r="59" spans="1:7" ht="15" customHeight="1" x14ac:dyDescent="0.2">
      <c r="A59" s="435" t="s">
        <v>93</v>
      </c>
      <c r="B59" s="430" t="s">
        <v>94</v>
      </c>
      <c r="C59" s="380">
        <f>+[11]BS17!$D16</f>
        <v>0</v>
      </c>
      <c r="D59" s="293"/>
      <c r="E59" s="294">
        <f>+[11]BS17A!V289</f>
        <v>0</v>
      </c>
      <c r="F59" s="262"/>
    </row>
    <row r="60" spans="1:7" ht="15" customHeight="1" x14ac:dyDescent="0.2">
      <c r="A60" s="467" t="s">
        <v>95</v>
      </c>
      <c r="B60" s="450" t="s">
        <v>96</v>
      </c>
      <c r="C60" s="410">
        <f>+[11]BS17!$D17</f>
        <v>1681</v>
      </c>
      <c r="D60" s="295"/>
      <c r="E60" s="296">
        <f>+[11]BS17A!V295</f>
        <v>7978440</v>
      </c>
      <c r="F60" s="262"/>
    </row>
    <row r="61" spans="1:7" ht="15" customHeight="1" x14ac:dyDescent="0.2">
      <c r="A61" s="434" t="s">
        <v>97</v>
      </c>
      <c r="B61" s="475" t="s">
        <v>98</v>
      </c>
      <c r="C61" s="412">
        <f>+[11]BS17!$D18</f>
        <v>4492</v>
      </c>
      <c r="D61" s="297"/>
      <c r="E61" s="298">
        <f>SUM(E62:E64)</f>
        <v>11752950</v>
      </c>
      <c r="F61" s="262"/>
    </row>
    <row r="62" spans="1:7" ht="15" customHeight="1" x14ac:dyDescent="0.2">
      <c r="A62" s="478"/>
      <c r="B62" s="451" t="s">
        <v>99</v>
      </c>
      <c r="C62" s="383">
        <f>+[11]BS17!$D19</f>
        <v>3577</v>
      </c>
      <c r="D62" s="299"/>
      <c r="E62" s="300">
        <f>+[11]BS17A!V362</f>
        <v>8098900</v>
      </c>
      <c r="F62" s="262"/>
    </row>
    <row r="63" spans="1:7" ht="15" customHeight="1" x14ac:dyDescent="0.2">
      <c r="A63" s="478"/>
      <c r="B63" s="430" t="s">
        <v>100</v>
      </c>
      <c r="C63" s="380">
        <f>+[11]BS17!$D20</f>
        <v>38</v>
      </c>
      <c r="D63" s="293"/>
      <c r="E63" s="294">
        <f>+[11]BS17A!V405</f>
        <v>102990</v>
      </c>
      <c r="F63" s="262"/>
    </row>
    <row r="64" spans="1:7" ht="15" customHeight="1" x14ac:dyDescent="0.2">
      <c r="A64" s="479"/>
      <c r="B64" s="432" t="s">
        <v>101</v>
      </c>
      <c r="C64" s="395">
        <f>+[11]BS17!$D21</f>
        <v>877</v>
      </c>
      <c r="D64" s="301"/>
      <c r="E64" s="302">
        <f>+[11]BS17A!V428</f>
        <v>3551060</v>
      </c>
      <c r="F64" s="262"/>
    </row>
    <row r="65" spans="1:7" ht="15" customHeight="1" x14ac:dyDescent="0.2">
      <c r="A65" s="472" t="s">
        <v>102</v>
      </c>
      <c r="B65" s="471" t="s">
        <v>103</v>
      </c>
      <c r="C65" s="426">
        <f>+[11]BS17!$D22</f>
        <v>0</v>
      </c>
      <c r="D65" s="290"/>
      <c r="E65" s="291">
        <f>+[11]BS17A!V446</f>
        <v>0</v>
      </c>
      <c r="F65" s="262"/>
    </row>
    <row r="66" spans="1:7" ht="15" customHeight="1" x14ac:dyDescent="0.2">
      <c r="A66" s="435" t="s">
        <v>104</v>
      </c>
      <c r="B66" s="430" t="s">
        <v>105</v>
      </c>
      <c r="C66" s="380">
        <f>+[11]BS17!$D23</f>
        <v>82</v>
      </c>
      <c r="D66" s="293"/>
      <c r="E66" s="294">
        <f>+[11]BS17A!V456</f>
        <v>178910</v>
      </c>
      <c r="F66" s="262"/>
    </row>
    <row r="67" spans="1:7" ht="15" customHeight="1" x14ac:dyDescent="0.2">
      <c r="A67" s="467" t="s">
        <v>106</v>
      </c>
      <c r="B67" s="450" t="s">
        <v>107</v>
      </c>
      <c r="C67" s="410">
        <f>+[11]BS17!$D24</f>
        <v>2824</v>
      </c>
      <c r="D67" s="295"/>
      <c r="E67" s="296">
        <f>+[11]BS17A!V500</f>
        <v>3560850</v>
      </c>
      <c r="F67" s="262"/>
    </row>
    <row r="68" spans="1:7" ht="15" customHeight="1" x14ac:dyDescent="0.2">
      <c r="A68" s="480" t="s">
        <v>108</v>
      </c>
      <c r="B68" s="470" t="s">
        <v>109</v>
      </c>
      <c r="C68" s="427">
        <f>+[11]BS17!$D25</f>
        <v>4955</v>
      </c>
      <c r="D68" s="303"/>
      <c r="E68" s="304">
        <f>SUM(E69:E74)</f>
        <v>81491180</v>
      </c>
      <c r="F68" s="262"/>
    </row>
    <row r="69" spans="1:7" ht="15" customHeight="1" x14ac:dyDescent="0.2">
      <c r="A69" s="435" t="s">
        <v>110</v>
      </c>
      <c r="B69" s="430" t="s">
        <v>111</v>
      </c>
      <c r="C69" s="380">
        <f>+[11]BS17!$D26</f>
        <v>2896</v>
      </c>
      <c r="D69" s="293"/>
      <c r="E69" s="294">
        <f>+[11]BS17A!V535</f>
        <v>22827700</v>
      </c>
      <c r="F69" s="262"/>
    </row>
    <row r="70" spans="1:7" ht="15" customHeight="1" x14ac:dyDescent="0.2">
      <c r="A70" s="435" t="s">
        <v>112</v>
      </c>
      <c r="B70" s="430" t="s">
        <v>113</v>
      </c>
      <c r="C70" s="380">
        <f>+[11]BS17!$D27</f>
        <v>7</v>
      </c>
      <c r="D70" s="293"/>
      <c r="E70" s="294">
        <f>+[11]BS17A!V590</f>
        <v>127680</v>
      </c>
      <c r="F70" s="262"/>
    </row>
    <row r="71" spans="1:7" ht="15" customHeight="1" x14ac:dyDescent="0.2">
      <c r="A71" s="435" t="s">
        <v>114</v>
      </c>
      <c r="B71" s="430" t="s">
        <v>115</v>
      </c>
      <c r="C71" s="380">
        <f>+[11]BS17!$D28</f>
        <v>843</v>
      </c>
      <c r="D71" s="293"/>
      <c r="E71" s="294">
        <f>+[11]BS17A!V615</f>
        <v>43010050</v>
      </c>
      <c r="F71" s="262"/>
    </row>
    <row r="72" spans="1:7" ht="15" customHeight="1" x14ac:dyDescent="0.2">
      <c r="A72" s="435" t="s">
        <v>116</v>
      </c>
      <c r="B72" s="430" t="s">
        <v>117</v>
      </c>
      <c r="C72" s="380">
        <f>+[11]BS17!$D30+[11]BS17!$D32</f>
        <v>969</v>
      </c>
      <c r="D72" s="293"/>
      <c r="E72" s="294">
        <f>+[11]BS17A!V633-[11]BS17A!V634</f>
        <v>14304150</v>
      </c>
      <c r="F72" s="262"/>
    </row>
    <row r="73" spans="1:7" ht="15" customHeight="1" x14ac:dyDescent="0.2">
      <c r="A73" s="481"/>
      <c r="B73" s="430" t="s">
        <v>118</v>
      </c>
      <c r="C73" s="380">
        <f>+[11]BS17!$D31</f>
        <v>240</v>
      </c>
      <c r="D73" s="293"/>
      <c r="E73" s="294">
        <f>+[11]BS17A!V634</f>
        <v>1221600</v>
      </c>
      <c r="F73" s="262"/>
    </row>
    <row r="74" spans="1:7" ht="15" customHeight="1" x14ac:dyDescent="0.2">
      <c r="A74" s="482" t="s">
        <v>119</v>
      </c>
      <c r="B74" s="476" t="s">
        <v>120</v>
      </c>
      <c r="C74" s="417">
        <f>+[11]BS17!$D33</f>
        <v>0</v>
      </c>
      <c r="D74" s="389"/>
      <c r="E74" s="390">
        <f>+[11]BS17A!V654</f>
        <v>0</v>
      </c>
      <c r="F74" s="262"/>
    </row>
    <row r="75" spans="1:7" ht="15" customHeight="1" x14ac:dyDescent="0.2">
      <c r="A75" s="483" t="s">
        <v>121</v>
      </c>
      <c r="B75" s="477" t="s">
        <v>122</v>
      </c>
      <c r="C75" s="428">
        <f>+[11]BS17!$D34</f>
        <v>0</v>
      </c>
      <c r="D75" s="305"/>
      <c r="E75" s="306">
        <f>+[11]BS17A!V783</f>
        <v>0</v>
      </c>
      <c r="F75" s="262"/>
    </row>
    <row r="76" spans="1:7" ht="15" customHeight="1" x14ac:dyDescent="0.2">
      <c r="A76" s="437"/>
      <c r="B76" s="539" t="s">
        <v>123</v>
      </c>
      <c r="C76" s="316">
        <f>+C55+C68+C75</f>
        <v>65605</v>
      </c>
      <c r="D76" s="288"/>
      <c r="E76" s="308">
        <f>+E55+E68+E75</f>
        <v>164338420</v>
      </c>
      <c r="F76" s="262"/>
    </row>
    <row r="77" spans="1:7" ht="12.75" x14ac:dyDescent="0.2">
      <c r="A77" s="262"/>
      <c r="B77" s="262"/>
      <c r="C77" s="262"/>
      <c r="D77" s="262"/>
      <c r="E77" s="262"/>
      <c r="F77" s="285"/>
      <c r="G77" s="286"/>
    </row>
    <row r="78" spans="1:7" ht="12.75" x14ac:dyDescent="0.2">
      <c r="A78" s="262"/>
      <c r="B78" s="262"/>
      <c r="C78" s="262"/>
      <c r="D78" s="262"/>
      <c r="E78" s="262"/>
      <c r="F78" s="285"/>
      <c r="G78" s="286"/>
    </row>
    <row r="79" spans="1:7" ht="12.75" x14ac:dyDescent="0.2">
      <c r="A79" s="583" t="s">
        <v>124</v>
      </c>
      <c r="B79" s="584"/>
      <c r="C79" s="584"/>
      <c r="D79" s="584"/>
      <c r="E79" s="585"/>
      <c r="F79" s="285"/>
      <c r="G79" s="286"/>
    </row>
    <row r="80" spans="1:7" ht="45" customHeight="1" x14ac:dyDescent="0.2">
      <c r="A80" s="264" t="s">
        <v>8</v>
      </c>
      <c r="B80" s="536" t="s">
        <v>9</v>
      </c>
      <c r="C80" s="309" t="s">
        <v>10</v>
      </c>
      <c r="D80" s="311"/>
      <c r="E80" s="312" t="s">
        <v>12</v>
      </c>
      <c r="F80" s="285"/>
      <c r="G80" s="286"/>
    </row>
    <row r="81" spans="1:6" ht="15" customHeight="1" x14ac:dyDescent="0.2">
      <c r="A81" s="473" t="s">
        <v>125</v>
      </c>
      <c r="B81" s="443" t="s">
        <v>126</v>
      </c>
      <c r="C81" s="383">
        <f>+[11]BS17!D49</f>
        <v>0</v>
      </c>
      <c r="D81" s="290"/>
      <c r="E81" s="313">
        <f>+SUM([11]BS17A!V673+[11]BS17A!V719)</f>
        <v>0</v>
      </c>
      <c r="F81" s="262"/>
    </row>
    <row r="82" spans="1:6" ht="15" customHeight="1" x14ac:dyDescent="0.2">
      <c r="A82" s="457">
        <v>2001</v>
      </c>
      <c r="B82" s="430" t="s">
        <v>127</v>
      </c>
      <c r="C82" s="380">
        <f>+[11]BS17!E130</f>
        <v>1058</v>
      </c>
      <c r="D82" s="293"/>
      <c r="E82" s="314">
        <f>+[11]BS17A!V1574</f>
        <v>9055740</v>
      </c>
      <c r="F82" s="262"/>
    </row>
    <row r="83" spans="1:6" ht="15" customHeight="1" x14ac:dyDescent="0.2">
      <c r="A83" s="467" t="s">
        <v>128</v>
      </c>
      <c r="B83" s="450" t="s">
        <v>129</v>
      </c>
      <c r="C83" s="410">
        <f>+[11]BS17A!D1849</f>
        <v>25</v>
      </c>
      <c r="D83" s="295"/>
      <c r="E83" s="315">
        <f>+[11]BS17A!V1849</f>
        <v>1604300</v>
      </c>
      <c r="F83" s="262"/>
    </row>
    <row r="84" spans="1:6" ht="17.25" customHeight="1" x14ac:dyDescent="0.2">
      <c r="A84" s="437"/>
      <c r="B84" s="539" t="s">
        <v>130</v>
      </c>
      <c r="C84" s="316">
        <f>+SUM(C81:C83)</f>
        <v>1083</v>
      </c>
      <c r="D84" s="288"/>
      <c r="E84" s="317">
        <f>SUM(E81:E83)</f>
        <v>10660040</v>
      </c>
      <c r="F84" s="262"/>
    </row>
    <row r="85" spans="1:6" ht="12.75" x14ac:dyDescent="0.2">
      <c r="A85" s="262"/>
      <c r="B85" s="262"/>
      <c r="C85" s="262"/>
      <c r="D85" s="262"/>
      <c r="E85" s="262"/>
      <c r="F85" s="262"/>
    </row>
    <row r="86" spans="1:6" ht="12.75" x14ac:dyDescent="0.2">
      <c r="A86" s="262"/>
      <c r="B86" s="262"/>
      <c r="C86" s="262"/>
      <c r="D86" s="262"/>
      <c r="E86" s="262"/>
      <c r="F86" s="259"/>
    </row>
    <row r="87" spans="1:6" ht="12.75" x14ac:dyDescent="0.15">
      <c r="A87" s="597" t="s">
        <v>131</v>
      </c>
      <c r="B87" s="598"/>
      <c r="C87" s="598"/>
      <c r="D87" s="598"/>
      <c r="E87" s="598"/>
      <c r="F87" s="599"/>
    </row>
    <row r="88" spans="1:6" ht="33.75" customHeight="1" x14ac:dyDescent="0.15">
      <c r="A88" s="611" t="s">
        <v>8</v>
      </c>
      <c r="B88" s="611" t="s">
        <v>9</v>
      </c>
      <c r="C88" s="586" t="s">
        <v>10</v>
      </c>
      <c r="D88" s="587"/>
      <c r="E88" s="587"/>
      <c r="F88" s="588"/>
    </row>
    <row r="89" spans="1:6" ht="45" customHeight="1" x14ac:dyDescent="0.15">
      <c r="A89" s="612"/>
      <c r="B89" s="612"/>
      <c r="C89" s="536" t="s">
        <v>132</v>
      </c>
      <c r="D89" s="394" t="s">
        <v>133</v>
      </c>
      <c r="E89" s="310" t="s">
        <v>134</v>
      </c>
      <c r="F89" s="537" t="s">
        <v>12</v>
      </c>
    </row>
    <row r="90" spans="1:6" ht="15" customHeight="1" x14ac:dyDescent="0.2">
      <c r="A90" s="434" t="s">
        <v>135</v>
      </c>
      <c r="B90" s="429" t="s">
        <v>136</v>
      </c>
      <c r="C90" s="420">
        <f>+[11]BS17!F68</f>
        <v>1</v>
      </c>
      <c r="D90" s="318">
        <f>+[11]BS17!G68</f>
        <v>0</v>
      </c>
      <c r="E90" s="319">
        <f>+[11]BS17!H68</f>
        <v>0</v>
      </c>
      <c r="F90" s="320">
        <f>[11]BS17A!V811</f>
        <v>149420</v>
      </c>
    </row>
    <row r="91" spans="1:6" ht="15" customHeight="1" x14ac:dyDescent="0.2">
      <c r="A91" s="435" t="s">
        <v>137</v>
      </c>
      <c r="B91" s="430" t="s">
        <v>138</v>
      </c>
      <c r="C91" s="421">
        <f>+[11]BS17!F69</f>
        <v>238</v>
      </c>
      <c r="D91" s="321">
        <f>+[11]BS17!G69</f>
        <v>0</v>
      </c>
      <c r="E91" s="322">
        <f>+[11]BS17!H69</f>
        <v>0</v>
      </c>
      <c r="F91" s="323">
        <f>[11]BS17A!V882</f>
        <v>83323060</v>
      </c>
    </row>
    <row r="92" spans="1:6" ht="15" customHeight="1" x14ac:dyDescent="0.2">
      <c r="A92" s="435" t="s">
        <v>139</v>
      </c>
      <c r="B92" s="430" t="s">
        <v>140</v>
      </c>
      <c r="C92" s="421">
        <f>+[11]BS17!F70</f>
        <v>40</v>
      </c>
      <c r="D92" s="321">
        <f>+[11]BS17!G70</f>
        <v>8</v>
      </c>
      <c r="E92" s="322">
        <f>+[11]BS17!H70</f>
        <v>0</v>
      </c>
      <c r="F92" s="323">
        <f>[11]BS17A!V961</f>
        <v>4486770</v>
      </c>
    </row>
    <row r="93" spans="1:6" ht="15" customHeight="1" x14ac:dyDescent="0.2">
      <c r="A93" s="435" t="s">
        <v>141</v>
      </c>
      <c r="B93" s="430" t="s">
        <v>142</v>
      </c>
      <c r="C93" s="421">
        <f>+[11]BS17!F71</f>
        <v>4</v>
      </c>
      <c r="D93" s="321">
        <f>+[11]BS17!G71</f>
        <v>0</v>
      </c>
      <c r="E93" s="322">
        <f>+[11]BS17!H71</f>
        <v>0</v>
      </c>
      <c r="F93" s="323">
        <f>[11]BS17A!V1037</f>
        <v>534000</v>
      </c>
    </row>
    <row r="94" spans="1:6" ht="15" customHeight="1" x14ac:dyDescent="0.2">
      <c r="A94" s="435" t="s">
        <v>143</v>
      </c>
      <c r="B94" s="430" t="s">
        <v>144</v>
      </c>
      <c r="C94" s="421">
        <f>+[11]BS17!F72</f>
        <v>61</v>
      </c>
      <c r="D94" s="321">
        <f>+[11]BS17!G72</f>
        <v>1</v>
      </c>
      <c r="E94" s="322">
        <f>+[11]BS17!H72</f>
        <v>0</v>
      </c>
      <c r="F94" s="323">
        <f>[11]BS17A!V1098</f>
        <v>2938245</v>
      </c>
    </row>
    <row r="95" spans="1:6" ht="15" customHeight="1" x14ac:dyDescent="0.2">
      <c r="A95" s="435" t="s">
        <v>145</v>
      </c>
      <c r="B95" s="430" t="s">
        <v>146</v>
      </c>
      <c r="C95" s="421">
        <f>+[11]BS17!F73</f>
        <v>109</v>
      </c>
      <c r="D95" s="321">
        <f>+[11]BS17!G73</f>
        <v>1</v>
      </c>
      <c r="E95" s="322">
        <f>+[11]BS17!H73</f>
        <v>0</v>
      </c>
      <c r="F95" s="323">
        <f>[11]BS17A!V1166</f>
        <v>2136310</v>
      </c>
    </row>
    <row r="96" spans="1:6" ht="15" customHeight="1" x14ac:dyDescent="0.2">
      <c r="A96" s="435" t="s">
        <v>147</v>
      </c>
      <c r="B96" s="430" t="s">
        <v>148</v>
      </c>
      <c r="C96" s="421">
        <f>+[11]BS17!F74</f>
        <v>5</v>
      </c>
      <c r="D96" s="321">
        <f>+[11]BS17!G74</f>
        <v>1</v>
      </c>
      <c r="E96" s="322">
        <f>+[11]BS17!H74</f>
        <v>0</v>
      </c>
      <c r="F96" s="323">
        <f>[11]BS17A!V1221</f>
        <v>566375</v>
      </c>
    </row>
    <row r="97" spans="1:6" ht="15" customHeight="1" x14ac:dyDescent="0.2">
      <c r="A97" s="435" t="s">
        <v>149</v>
      </c>
      <c r="B97" s="430" t="s">
        <v>150</v>
      </c>
      <c r="C97" s="421">
        <f>+[11]BS17!F75</f>
        <v>7</v>
      </c>
      <c r="D97" s="321">
        <f>+[11]BS17!G75</f>
        <v>0</v>
      </c>
      <c r="E97" s="322">
        <f>+[11]BS17!H75</f>
        <v>0</v>
      </c>
      <c r="F97" s="323">
        <f>[11]BS17A!V1287</f>
        <v>368270</v>
      </c>
    </row>
    <row r="98" spans="1:6" ht="15" customHeight="1" x14ac:dyDescent="0.2">
      <c r="A98" s="435" t="s">
        <v>151</v>
      </c>
      <c r="B98" s="430" t="s">
        <v>152</v>
      </c>
      <c r="C98" s="421">
        <f>+[11]BS17!F76</f>
        <v>161</v>
      </c>
      <c r="D98" s="321">
        <f>+[11]BS17!G76</f>
        <v>12</v>
      </c>
      <c r="E98" s="322">
        <f>+[11]BS17!H76</f>
        <v>0</v>
      </c>
      <c r="F98" s="323">
        <f>[11]BS17A!V1357</f>
        <v>38058375</v>
      </c>
    </row>
    <row r="99" spans="1:6" ht="15" customHeight="1" x14ac:dyDescent="0.2">
      <c r="A99" s="435" t="s">
        <v>153</v>
      </c>
      <c r="B99" s="430" t="s">
        <v>154</v>
      </c>
      <c r="C99" s="421">
        <f>+[11]BS17!F77</f>
        <v>7</v>
      </c>
      <c r="D99" s="321">
        <f>+[11]BS17!G77</f>
        <v>0</v>
      </c>
      <c r="E99" s="322">
        <f>+[11]BS17!H77</f>
        <v>0</v>
      </c>
      <c r="F99" s="323">
        <f>[11]BS17A!V1441</f>
        <v>588980</v>
      </c>
    </row>
    <row r="100" spans="1:6" ht="15" customHeight="1" x14ac:dyDescent="0.2">
      <c r="A100" s="435" t="s">
        <v>155</v>
      </c>
      <c r="B100" s="430" t="s">
        <v>156</v>
      </c>
      <c r="C100" s="421">
        <f>+[11]BS17!F78</f>
        <v>28</v>
      </c>
      <c r="D100" s="321">
        <f>+[11]BS17!G78</f>
        <v>2</v>
      </c>
      <c r="E100" s="322">
        <f>+[11]BS17!H78</f>
        <v>0</v>
      </c>
      <c r="F100" s="323">
        <f>[11]BS17A!V1489</f>
        <v>5792250</v>
      </c>
    </row>
    <row r="101" spans="1:6" ht="15" customHeight="1" x14ac:dyDescent="0.2">
      <c r="A101" s="435" t="s">
        <v>157</v>
      </c>
      <c r="B101" s="430" t="s">
        <v>158</v>
      </c>
      <c r="C101" s="421">
        <f>+[11]BS17!F79</f>
        <v>7</v>
      </c>
      <c r="D101" s="321">
        <f>+[11]BS17!G79</f>
        <v>1</v>
      </c>
      <c r="E101" s="322">
        <f>+[11]BS17!H79</f>
        <v>0</v>
      </c>
      <c r="F101" s="323">
        <f>[11]BS17A!V1592</f>
        <v>1437915</v>
      </c>
    </row>
    <row r="102" spans="1:6" ht="15" customHeight="1" x14ac:dyDescent="0.2">
      <c r="A102" s="467" t="s">
        <v>159</v>
      </c>
      <c r="B102" s="450" t="s">
        <v>160</v>
      </c>
      <c r="C102" s="422">
        <f>+[11]BS17!F80</f>
        <v>49</v>
      </c>
      <c r="D102" s="324">
        <f>+[11]BS17!G80</f>
        <v>6</v>
      </c>
      <c r="E102" s="325">
        <f>+[11]BS17!H80</f>
        <v>0</v>
      </c>
      <c r="F102" s="326">
        <f>[11]BS17A!V1597</f>
        <v>9148500</v>
      </c>
    </row>
    <row r="103" spans="1:6" ht="15" customHeight="1" x14ac:dyDescent="0.2">
      <c r="A103" s="434" t="s">
        <v>161</v>
      </c>
      <c r="B103" s="429" t="s">
        <v>162</v>
      </c>
      <c r="C103" s="420">
        <f>+[11]BS17!F81</f>
        <v>58</v>
      </c>
      <c r="D103" s="318">
        <f>+[11]BS17!G81</f>
        <v>0</v>
      </c>
      <c r="E103" s="319">
        <f>+[11]BS17!H81</f>
        <v>0</v>
      </c>
      <c r="F103" s="320">
        <f>+[11]BS17A!V1631</f>
        <v>6692100</v>
      </c>
    </row>
    <row r="104" spans="1:6" ht="15" customHeight="1" x14ac:dyDescent="0.2">
      <c r="A104" s="435"/>
      <c r="B104" s="430" t="s">
        <v>163</v>
      </c>
      <c r="C104" s="421">
        <f>+[11]BS17A!D1635</f>
        <v>0</v>
      </c>
      <c r="D104" s="321">
        <f>+[11]BS17A!F1635</f>
        <v>0</v>
      </c>
      <c r="E104" s="322">
        <f>+[11]BS17A!G1635</f>
        <v>0</v>
      </c>
      <c r="F104" s="323">
        <f>+[11]BS17A!V1635</f>
        <v>0</v>
      </c>
    </row>
    <row r="105" spans="1:6" ht="15" customHeight="1" x14ac:dyDescent="0.2">
      <c r="A105" s="435"/>
      <c r="B105" s="430" t="s">
        <v>164</v>
      </c>
      <c r="C105" s="421">
        <f>+[11]BS17A!D1634</f>
        <v>33</v>
      </c>
      <c r="D105" s="321">
        <f>+[11]BS17A!F1634</f>
        <v>0</v>
      </c>
      <c r="E105" s="322">
        <f>+[11]BS17A!G1634</f>
        <v>0</v>
      </c>
      <c r="F105" s="323">
        <f>+[11]BS17A!V1634</f>
        <v>4255350</v>
      </c>
    </row>
    <row r="106" spans="1:6" ht="15" customHeight="1" x14ac:dyDescent="0.2">
      <c r="A106" s="436"/>
      <c r="B106" s="444" t="s">
        <v>165</v>
      </c>
      <c r="C106" s="423">
        <f>+[11]BS17A!D1632+[11]BS17A!D1633</f>
        <v>25</v>
      </c>
      <c r="D106" s="328">
        <f>+[11]BS17A!F1632+[11]BS17A!F1633</f>
        <v>0</v>
      </c>
      <c r="E106" s="329">
        <f>+[11]BS17A!G1632+[11]BS17A!G1633</f>
        <v>0</v>
      </c>
      <c r="F106" s="330">
        <f>+[11]BS17A!V1632+[11]BS17A!V1633</f>
        <v>2436750</v>
      </c>
    </row>
    <row r="107" spans="1:6" ht="15" customHeight="1" x14ac:dyDescent="0.2">
      <c r="A107" s="472" t="s">
        <v>166</v>
      </c>
      <c r="B107" s="471" t="s">
        <v>167</v>
      </c>
      <c r="C107" s="424">
        <f>+[11]BS17!F82</f>
        <v>51</v>
      </c>
      <c r="D107" s="331">
        <f>+[11]BS17!G82</f>
        <v>4</v>
      </c>
      <c r="E107" s="332">
        <f>+[11]BS17!H82</f>
        <v>0</v>
      </c>
      <c r="F107" s="333">
        <f>+[11]BS17A!V1639</f>
        <v>10392340</v>
      </c>
    </row>
    <row r="108" spans="1:6" ht="15" customHeight="1" x14ac:dyDescent="0.2">
      <c r="A108" s="468">
        <v>2106</v>
      </c>
      <c r="B108" s="444" t="s">
        <v>168</v>
      </c>
      <c r="C108" s="423">
        <f>[11]BS17A!D1845</f>
        <v>7</v>
      </c>
      <c r="D108" s="328">
        <f>[11]BS17A!F1845</f>
        <v>1</v>
      </c>
      <c r="E108" s="329">
        <f>[11]BS17A!G1845</f>
        <v>0</v>
      </c>
      <c r="F108" s="330">
        <f>+[11]BS17A!V1845</f>
        <v>431350</v>
      </c>
    </row>
    <row r="109" spans="1:6" ht="15" customHeight="1" x14ac:dyDescent="0.2">
      <c r="A109" s="442"/>
      <c r="B109" s="441" t="s">
        <v>169</v>
      </c>
      <c r="C109" s="425">
        <f>SUM(C90:C108)-C103</f>
        <v>833</v>
      </c>
      <c r="D109" s="335">
        <f>SUM(D90:D108)-D103</f>
        <v>37</v>
      </c>
      <c r="E109" s="336">
        <f>+SUM(E90:E103)+E107+E108</f>
        <v>0</v>
      </c>
      <c r="F109" s="337">
        <f>+SUM(F90:F103)+F107+F108</f>
        <v>167044260</v>
      </c>
    </row>
    <row r="110" spans="1:6" ht="12.75" x14ac:dyDescent="0.2">
      <c r="A110" s="262"/>
      <c r="B110" s="262"/>
      <c r="C110" s="262"/>
      <c r="D110" s="262"/>
      <c r="E110" s="262"/>
      <c r="F110" s="259"/>
    </row>
    <row r="111" spans="1:6" ht="12.75" x14ac:dyDescent="0.2">
      <c r="A111" s="262"/>
      <c r="B111" s="262"/>
      <c r="C111" s="262"/>
      <c r="D111" s="262"/>
      <c r="E111" s="262"/>
      <c r="F111" s="259"/>
    </row>
    <row r="112" spans="1:6" ht="12.75" x14ac:dyDescent="0.2">
      <c r="A112" s="583" t="s">
        <v>170</v>
      </c>
      <c r="B112" s="584"/>
      <c r="C112" s="584"/>
      <c r="D112" s="584"/>
      <c r="E112" s="585"/>
      <c r="F112" s="259"/>
    </row>
    <row r="113" spans="1:6" ht="49.5" customHeight="1" x14ac:dyDescent="0.2">
      <c r="A113" s="264" t="s">
        <v>8</v>
      </c>
      <c r="B113" s="264" t="s">
        <v>9</v>
      </c>
      <c r="C113" s="535" t="s">
        <v>10</v>
      </c>
      <c r="D113" s="310" t="s">
        <v>11</v>
      </c>
      <c r="E113" s="537" t="s">
        <v>12</v>
      </c>
      <c r="F113" s="259"/>
    </row>
    <row r="114" spans="1:6" ht="15" customHeight="1" x14ac:dyDescent="0.2">
      <c r="A114" s="434" t="s">
        <v>171</v>
      </c>
      <c r="B114" s="429" t="s">
        <v>172</v>
      </c>
      <c r="C114" s="383">
        <f>+[11]BS17A!D1636</f>
        <v>77</v>
      </c>
      <c r="D114" s="338">
        <f>+[11]BS17A!U1636</f>
        <v>128940</v>
      </c>
      <c r="E114" s="339">
        <f>+[11]BS17A!V1636</f>
        <v>9928380</v>
      </c>
      <c r="F114" s="262"/>
    </row>
    <row r="115" spans="1:6" ht="15" customHeight="1" x14ac:dyDescent="0.2">
      <c r="A115" s="436" t="s">
        <v>173</v>
      </c>
      <c r="B115" s="465" t="s">
        <v>174</v>
      </c>
      <c r="C115" s="410">
        <f>+[11]BS17A!D1637</f>
        <v>7</v>
      </c>
      <c r="D115" s="340">
        <f>+[11]BS17A!U1637</f>
        <v>135670</v>
      </c>
      <c r="E115" s="315">
        <f>+[11]BS17A!V1637</f>
        <v>949690</v>
      </c>
      <c r="F115" s="262"/>
    </row>
    <row r="116" spans="1:6" ht="15" customHeight="1" x14ac:dyDescent="0.2">
      <c r="A116" s="316"/>
      <c r="B116" s="393" t="s">
        <v>175</v>
      </c>
      <c r="C116" s="316">
        <f>SUM(C114:C115)</f>
        <v>84</v>
      </c>
      <c r="D116" s="288"/>
      <c r="E116" s="317">
        <f>SUM(E114:E115)</f>
        <v>10878070</v>
      </c>
      <c r="F116" s="262"/>
    </row>
    <row r="117" spans="1:6" ht="12.75" x14ac:dyDescent="0.2">
      <c r="A117" s="262"/>
      <c r="B117" s="262"/>
      <c r="C117" s="262"/>
      <c r="D117" s="262"/>
      <c r="E117" s="262"/>
      <c r="F117" s="262"/>
    </row>
    <row r="118" spans="1:6" ht="12.75" x14ac:dyDescent="0.2">
      <c r="A118" s="262"/>
      <c r="B118" s="262"/>
      <c r="C118" s="262"/>
      <c r="D118" s="262"/>
      <c r="E118" s="262"/>
      <c r="F118" s="259"/>
    </row>
    <row r="119" spans="1:6" ht="12.75" x14ac:dyDescent="0.2">
      <c r="A119" s="608" t="s">
        <v>176</v>
      </c>
      <c r="B119" s="608"/>
      <c r="C119" s="608"/>
      <c r="D119" s="262"/>
      <c r="E119" s="262"/>
      <c r="F119" s="259"/>
    </row>
    <row r="120" spans="1:6" ht="38.25" customHeight="1" x14ac:dyDescent="0.2">
      <c r="A120" s="264" t="s">
        <v>8</v>
      </c>
      <c r="B120" s="264" t="s">
        <v>10</v>
      </c>
      <c r="C120" s="264" t="s">
        <v>12</v>
      </c>
      <c r="D120" s="262"/>
      <c r="E120" s="262"/>
      <c r="F120" s="262"/>
    </row>
    <row r="121" spans="1:6" ht="15" customHeight="1" x14ac:dyDescent="0.2">
      <c r="A121" s="341" t="s">
        <v>177</v>
      </c>
      <c r="B121" s="342" t="s">
        <v>178</v>
      </c>
      <c r="C121" s="343">
        <f>+[11]BS17A!V1871+[11]BS17A!V1889+[11]BS17A!V1914</f>
        <v>15178450</v>
      </c>
      <c r="D121" s="262"/>
      <c r="E121" s="262"/>
      <c r="F121" s="262"/>
    </row>
    <row r="122" spans="1:6" ht="12.75" x14ac:dyDescent="0.2">
      <c r="A122" s="262"/>
      <c r="B122" s="262"/>
      <c r="C122" s="262"/>
      <c r="D122" s="262"/>
      <c r="E122" s="259"/>
      <c r="F122" s="262"/>
    </row>
    <row r="123" spans="1:6" ht="12.75" x14ac:dyDescent="0.2">
      <c r="A123" s="262"/>
      <c r="B123" s="262"/>
      <c r="C123" s="262"/>
      <c r="D123" s="262"/>
      <c r="E123" s="259"/>
      <c r="F123" s="262"/>
    </row>
    <row r="124" spans="1:6" ht="12.75" x14ac:dyDescent="0.2">
      <c r="A124" s="583" t="s">
        <v>179</v>
      </c>
      <c r="B124" s="584"/>
      <c r="C124" s="584"/>
      <c r="D124" s="584"/>
      <c r="E124" s="585"/>
      <c r="F124" s="259"/>
    </row>
    <row r="125" spans="1:6" ht="45.75" customHeight="1" x14ac:dyDescent="0.2">
      <c r="A125" s="264" t="s">
        <v>8</v>
      </c>
      <c r="B125" s="264" t="s">
        <v>9</v>
      </c>
      <c r="C125" s="535" t="s">
        <v>10</v>
      </c>
      <c r="D125" s="310" t="s">
        <v>11</v>
      </c>
      <c r="E125" s="537" t="s">
        <v>12</v>
      </c>
      <c r="F125" s="259"/>
    </row>
    <row r="126" spans="1:6" ht="15" customHeight="1" x14ac:dyDescent="0.2">
      <c r="A126" s="434" t="s">
        <v>180</v>
      </c>
      <c r="B126" s="451" t="s">
        <v>181</v>
      </c>
      <c r="C126" s="383">
        <f>+[11]BS17A!$D59</f>
        <v>6053</v>
      </c>
      <c r="D126" s="275">
        <f>+[11]BS17A!$U59</f>
        <v>33020</v>
      </c>
      <c r="E126" s="344">
        <f>+[11]BS17A!$V59</f>
        <v>199870060</v>
      </c>
      <c r="F126" s="262"/>
    </row>
    <row r="127" spans="1:6" ht="15" customHeight="1" x14ac:dyDescent="0.2">
      <c r="A127" s="435" t="s">
        <v>182</v>
      </c>
      <c r="B127" s="431" t="s">
        <v>183</v>
      </c>
      <c r="C127" s="380">
        <f>+[11]BS17A!$D60</f>
        <v>0</v>
      </c>
      <c r="D127" s="270">
        <f>+[11]BS17A!$U60</f>
        <v>30400</v>
      </c>
      <c r="E127" s="345">
        <f>+[11]BS17A!$V60</f>
        <v>0</v>
      </c>
      <c r="F127" s="262"/>
    </row>
    <row r="128" spans="1:6" ht="15" customHeight="1" x14ac:dyDescent="0.2">
      <c r="A128" s="435" t="s">
        <v>184</v>
      </c>
      <c r="B128" s="431" t="s">
        <v>185</v>
      </c>
      <c r="C128" s="380">
        <f>+[11]BS17A!$D61</f>
        <v>0</v>
      </c>
      <c r="D128" s="270">
        <f>+[11]BS17A!$U61</f>
        <v>25340</v>
      </c>
      <c r="E128" s="345">
        <f>+[11]BS17A!$V61</f>
        <v>0</v>
      </c>
      <c r="F128" s="262"/>
    </row>
    <row r="129" spans="1:6" ht="15" customHeight="1" x14ac:dyDescent="0.2">
      <c r="A129" s="435" t="s">
        <v>186</v>
      </c>
      <c r="B129" s="431" t="s">
        <v>187</v>
      </c>
      <c r="C129" s="380">
        <f>SUM([11]BS17A!D62:D64)</f>
        <v>96</v>
      </c>
      <c r="D129" s="270">
        <f>+[11]BS17A!$U62</f>
        <v>137290</v>
      </c>
      <c r="E129" s="345">
        <f>SUM([11]BS17A!V62:V64)</f>
        <v>13179840</v>
      </c>
      <c r="F129" s="262"/>
    </row>
    <row r="130" spans="1:6" ht="15" customHeight="1" x14ac:dyDescent="0.2">
      <c r="A130" s="435" t="s">
        <v>188</v>
      </c>
      <c r="B130" s="431" t="s">
        <v>189</v>
      </c>
      <c r="C130" s="380">
        <f>SUM([11]BS17A!D65:D67)</f>
        <v>298</v>
      </c>
      <c r="D130" s="270">
        <f>+[11]BS17A!$U65</f>
        <v>66300</v>
      </c>
      <c r="E130" s="345">
        <f>SUM([11]BS17A!V65:V67)</f>
        <v>19757400</v>
      </c>
      <c r="F130" s="262"/>
    </row>
    <row r="131" spans="1:6" ht="15" customHeight="1" x14ac:dyDescent="0.2">
      <c r="A131" s="435" t="s">
        <v>190</v>
      </c>
      <c r="B131" s="431" t="s">
        <v>191</v>
      </c>
      <c r="C131" s="380">
        <f>+[11]BS17A!D68</f>
        <v>100</v>
      </c>
      <c r="D131" s="270">
        <f>+[11]BS17A!$U68</f>
        <v>59490</v>
      </c>
      <c r="E131" s="345">
        <f>+[11]BS17A!$V68</f>
        <v>5949000</v>
      </c>
      <c r="F131" s="262"/>
    </row>
    <row r="132" spans="1:6" ht="15" customHeight="1" x14ac:dyDescent="0.2">
      <c r="A132" s="435" t="s">
        <v>192</v>
      </c>
      <c r="B132" s="431" t="s">
        <v>193</v>
      </c>
      <c r="C132" s="380">
        <f>+[11]BS17A!$D69</f>
        <v>0</v>
      </c>
      <c r="D132" s="270">
        <f>+[11]BS17A!$U69</f>
        <v>16880</v>
      </c>
      <c r="E132" s="345">
        <f>+[11]BS17A!$V69</f>
        <v>0</v>
      </c>
      <c r="F132" s="262"/>
    </row>
    <row r="133" spans="1:6" ht="15" customHeight="1" x14ac:dyDescent="0.2">
      <c r="A133" s="435" t="s">
        <v>194</v>
      </c>
      <c r="B133" s="431" t="s">
        <v>195</v>
      </c>
      <c r="C133" s="380">
        <f>+[11]BS17A!$D70</f>
        <v>0</v>
      </c>
      <c r="D133" s="270">
        <f>+[11]BS17A!$U70</f>
        <v>26450</v>
      </c>
      <c r="E133" s="345">
        <f>+[11]BS17A!$V70</f>
        <v>0</v>
      </c>
      <c r="F133" s="262"/>
    </row>
    <row r="134" spans="1:6" ht="15" customHeight="1" x14ac:dyDescent="0.2">
      <c r="A134" s="435" t="s">
        <v>196</v>
      </c>
      <c r="B134" s="431" t="s">
        <v>197</v>
      </c>
      <c r="C134" s="380">
        <f>+[11]BS17A!$D73</f>
        <v>0</v>
      </c>
      <c r="D134" s="270">
        <f>+[11]BS17A!$U73</f>
        <v>26670</v>
      </c>
      <c r="E134" s="345">
        <f>+[11]BS17A!$V73</f>
        <v>0</v>
      </c>
      <c r="F134" s="262"/>
    </row>
    <row r="135" spans="1:6" ht="15" customHeight="1" x14ac:dyDescent="0.2">
      <c r="A135" s="435" t="s">
        <v>198</v>
      </c>
      <c r="B135" s="431" t="s">
        <v>199</v>
      </c>
      <c r="C135" s="380">
        <f>+[11]BS17A!$D71</f>
        <v>0</v>
      </c>
      <c r="D135" s="270">
        <f>+[11]BS17A!$U71</f>
        <v>27530</v>
      </c>
      <c r="E135" s="345">
        <f>+[11]BS17A!$V71</f>
        <v>0</v>
      </c>
      <c r="F135" s="262"/>
    </row>
    <row r="136" spans="1:6" ht="15" customHeight="1" x14ac:dyDescent="0.2">
      <c r="A136" s="435" t="s">
        <v>200</v>
      </c>
      <c r="B136" s="431" t="s">
        <v>201</v>
      </c>
      <c r="C136" s="380">
        <f>+[11]BS17A!$D76</f>
        <v>0</v>
      </c>
      <c r="D136" s="270">
        <f>+[11]BS17A!$U76</f>
        <v>33020</v>
      </c>
      <c r="E136" s="345">
        <f>+[11]BS17A!$V76</f>
        <v>0</v>
      </c>
      <c r="F136" s="262"/>
    </row>
    <row r="137" spans="1:6" ht="15" customHeight="1" x14ac:dyDescent="0.2">
      <c r="A137" s="435" t="s">
        <v>202</v>
      </c>
      <c r="B137" s="430" t="s">
        <v>203</v>
      </c>
      <c r="C137" s="380">
        <f>+[11]BS17A!$D79</f>
        <v>30</v>
      </c>
      <c r="D137" s="270">
        <f>+[11]BS17A!$U79</f>
        <v>6410</v>
      </c>
      <c r="E137" s="345">
        <f>+[11]BS17A!$V79</f>
        <v>192300</v>
      </c>
      <c r="F137" s="262"/>
    </row>
    <row r="138" spans="1:6" ht="15" customHeight="1" x14ac:dyDescent="0.2">
      <c r="A138" s="435" t="s">
        <v>204</v>
      </c>
      <c r="B138" s="430" t="s">
        <v>205</v>
      </c>
      <c r="C138" s="380">
        <f>+[11]BS17A!$D80</f>
        <v>0</v>
      </c>
      <c r="D138" s="270">
        <f>+[11]BS17A!$U80</f>
        <v>46280</v>
      </c>
      <c r="E138" s="345">
        <f>+[11]BS17A!$V80</f>
        <v>0</v>
      </c>
      <c r="F138" s="262"/>
    </row>
    <row r="139" spans="1:6" ht="15" customHeight="1" x14ac:dyDescent="0.2">
      <c r="A139" s="436"/>
      <c r="B139" s="469" t="s">
        <v>206</v>
      </c>
      <c r="C139" s="419">
        <f>SUM(C126:C138)</f>
        <v>6577</v>
      </c>
      <c r="D139" s="346"/>
      <c r="E139" s="347">
        <f>SUM(E126:E138)</f>
        <v>238948600</v>
      </c>
      <c r="F139" s="262"/>
    </row>
    <row r="140" spans="1:6" ht="15" customHeight="1" x14ac:dyDescent="0.2">
      <c r="A140" s="434"/>
      <c r="B140" s="470" t="s">
        <v>207</v>
      </c>
      <c r="C140" s="383"/>
      <c r="D140" s="275"/>
      <c r="E140" s="344"/>
      <c r="F140" s="262"/>
    </row>
    <row r="141" spans="1:6" ht="15" customHeight="1" x14ac:dyDescent="0.2">
      <c r="A141" s="435" t="s">
        <v>208</v>
      </c>
      <c r="B141" s="431" t="s">
        <v>209</v>
      </c>
      <c r="C141" s="380">
        <f>+[11]BS17A!$D72</f>
        <v>0</v>
      </c>
      <c r="D141" s="270">
        <f>+[11]BS17A!$U72</f>
        <v>11100</v>
      </c>
      <c r="E141" s="345">
        <f>+[11]BS17A!$V72</f>
        <v>0</v>
      </c>
      <c r="F141" s="262"/>
    </row>
    <row r="142" spans="1:6" ht="15" customHeight="1" x14ac:dyDescent="0.2">
      <c r="A142" s="435" t="s">
        <v>210</v>
      </c>
      <c r="B142" s="431" t="s">
        <v>211</v>
      </c>
      <c r="C142" s="380">
        <f>+[11]BS17A!$D74</f>
        <v>0</v>
      </c>
      <c r="D142" s="270">
        <f>+[11]BS17A!$U74</f>
        <v>11100</v>
      </c>
      <c r="E142" s="345">
        <f>+[11]BS17A!$V74</f>
        <v>0</v>
      </c>
      <c r="F142" s="262"/>
    </row>
    <row r="143" spans="1:6" ht="15" customHeight="1" x14ac:dyDescent="0.2">
      <c r="A143" s="435" t="s">
        <v>212</v>
      </c>
      <c r="B143" s="431" t="s">
        <v>213</v>
      </c>
      <c r="C143" s="380">
        <f>+[11]BS17A!$D75</f>
        <v>2</v>
      </c>
      <c r="D143" s="270">
        <f>+[11]BS17A!$U75</f>
        <v>4890</v>
      </c>
      <c r="E143" s="345">
        <f>+[11]BS17A!$V75</f>
        <v>9780</v>
      </c>
      <c r="F143" s="262"/>
    </row>
    <row r="144" spans="1:6" ht="15" customHeight="1" x14ac:dyDescent="0.2">
      <c r="A144" s="435" t="s">
        <v>214</v>
      </c>
      <c r="B144" s="431" t="s">
        <v>215</v>
      </c>
      <c r="C144" s="380">
        <f>+[11]BS17A!$D77</f>
        <v>0</v>
      </c>
      <c r="D144" s="270">
        <f>+[11]BS17A!$U77</f>
        <v>89270</v>
      </c>
      <c r="E144" s="345">
        <f>+[11]BS17A!$V77</f>
        <v>0</v>
      </c>
      <c r="F144" s="262"/>
    </row>
    <row r="145" spans="1:6" ht="15" customHeight="1" x14ac:dyDescent="0.2">
      <c r="A145" s="435" t="s">
        <v>216</v>
      </c>
      <c r="B145" s="431" t="s">
        <v>217</v>
      </c>
      <c r="C145" s="380">
        <f>+[11]BS17A!$D78</f>
        <v>0</v>
      </c>
      <c r="D145" s="270">
        <f>+[11]BS17A!$U78</f>
        <v>10540</v>
      </c>
      <c r="E145" s="345">
        <f>+[11]BS17A!$V78</f>
        <v>0</v>
      </c>
      <c r="F145" s="262"/>
    </row>
    <row r="146" spans="1:6" ht="15" customHeight="1" x14ac:dyDescent="0.2">
      <c r="A146" s="435" t="s">
        <v>218</v>
      </c>
      <c r="B146" s="431" t="s">
        <v>219</v>
      </c>
      <c r="C146" s="380">
        <f>+[11]BS17A!$D81</f>
        <v>0</v>
      </c>
      <c r="D146" s="270">
        <f>+[11]BS17A!$U81</f>
        <v>8120</v>
      </c>
      <c r="E146" s="345">
        <f>+[11]BS17A!$V81</f>
        <v>0</v>
      </c>
      <c r="F146" s="262"/>
    </row>
    <row r="147" spans="1:6" ht="15" customHeight="1" x14ac:dyDescent="0.2">
      <c r="A147" s="436"/>
      <c r="B147" s="469" t="s">
        <v>220</v>
      </c>
      <c r="C147" s="419">
        <f>SUM(C141:C146)</f>
        <v>2</v>
      </c>
      <c r="D147" s="346"/>
      <c r="E147" s="347">
        <f>SUM(E141:E146)</f>
        <v>9780</v>
      </c>
      <c r="F147" s="262"/>
    </row>
    <row r="148" spans="1:6" ht="15" customHeight="1" x14ac:dyDescent="0.2">
      <c r="A148" s="442"/>
      <c r="B148" s="441" t="s">
        <v>221</v>
      </c>
      <c r="C148" s="279">
        <f>+C139+C147</f>
        <v>6579</v>
      </c>
      <c r="D148" s="348"/>
      <c r="E148" s="349">
        <f>+E139+E147</f>
        <v>238958380</v>
      </c>
      <c r="F148" s="262"/>
    </row>
    <row r="149" spans="1:6" ht="12.75" x14ac:dyDescent="0.2">
      <c r="A149" s="262"/>
      <c r="B149" s="262"/>
      <c r="C149" s="262"/>
      <c r="D149" s="262"/>
      <c r="E149" s="262"/>
      <c r="F149" s="262"/>
    </row>
    <row r="150" spans="1:6" ht="12.75" x14ac:dyDescent="0.2">
      <c r="A150" s="262"/>
      <c r="B150" s="262"/>
      <c r="C150" s="262"/>
      <c r="D150" s="262"/>
      <c r="E150" s="262"/>
      <c r="F150" s="259"/>
    </row>
    <row r="151" spans="1:6" ht="12.75" x14ac:dyDescent="0.2">
      <c r="A151" s="597" t="s">
        <v>222</v>
      </c>
      <c r="B151" s="598"/>
      <c r="C151" s="598"/>
      <c r="D151" s="598"/>
      <c r="E151" s="599"/>
      <c r="F151" s="259"/>
    </row>
    <row r="152" spans="1:6" ht="47.25" customHeight="1" x14ac:dyDescent="0.2">
      <c r="A152" s="264" t="s">
        <v>8</v>
      </c>
      <c r="B152" s="264" t="s">
        <v>9</v>
      </c>
      <c r="C152" s="535" t="s">
        <v>10</v>
      </c>
      <c r="D152" s="310" t="s">
        <v>11</v>
      </c>
      <c r="E152" s="537" t="s">
        <v>12</v>
      </c>
      <c r="F152" s="262"/>
    </row>
    <row r="153" spans="1:6" ht="15" customHeight="1" x14ac:dyDescent="0.2">
      <c r="A153" s="434" t="s">
        <v>223</v>
      </c>
      <c r="B153" s="451" t="s">
        <v>224</v>
      </c>
      <c r="C153" s="383">
        <f>+[11]BS17A!D43</f>
        <v>282</v>
      </c>
      <c r="D153" s="275">
        <f>[11]BS17A!U43</f>
        <v>760</v>
      </c>
      <c r="E153" s="344">
        <f>+[11]BS17A!V43</f>
        <v>214320</v>
      </c>
      <c r="F153" s="262"/>
    </row>
    <row r="154" spans="1:6" ht="15" customHeight="1" x14ac:dyDescent="0.2">
      <c r="A154" s="436" t="s">
        <v>225</v>
      </c>
      <c r="B154" s="432" t="s">
        <v>226</v>
      </c>
      <c r="C154" s="395">
        <f>+[11]BS17A!D44+[11]BS17A!D45</f>
        <v>0</v>
      </c>
      <c r="D154" s="277">
        <f>[11]BS17A!U44</f>
        <v>100</v>
      </c>
      <c r="E154" s="350">
        <f>+[11]BS17A!V44+[11]BS17A!V45</f>
        <v>0</v>
      </c>
      <c r="F154" s="262"/>
    </row>
    <row r="155" spans="1:6" ht="15" customHeight="1" x14ac:dyDescent="0.2">
      <c r="A155" s="442"/>
      <c r="B155" s="441" t="s">
        <v>227</v>
      </c>
      <c r="C155" s="279">
        <f>SUM(C153:C154)</f>
        <v>282</v>
      </c>
      <c r="D155" s="348"/>
      <c r="E155" s="349">
        <f>SUM(E153:E154)</f>
        <v>214320</v>
      </c>
      <c r="F155" s="262"/>
    </row>
    <row r="156" spans="1:6" ht="12.75" x14ac:dyDescent="0.2">
      <c r="A156" s="262"/>
      <c r="B156" s="262"/>
      <c r="C156" s="262"/>
      <c r="D156" s="262"/>
      <c r="E156" s="262"/>
      <c r="F156" s="262"/>
    </row>
    <row r="157" spans="1:6" ht="12.75" x14ac:dyDescent="0.2">
      <c r="A157" s="262"/>
      <c r="B157" s="262"/>
      <c r="C157" s="262"/>
      <c r="D157" s="262"/>
      <c r="E157" s="262"/>
      <c r="F157" s="262"/>
    </row>
    <row r="158" spans="1:6" ht="18" customHeight="1" x14ac:dyDescent="0.2">
      <c r="A158" s="597" t="s">
        <v>228</v>
      </c>
      <c r="B158" s="598"/>
      <c r="C158" s="598"/>
      <c r="D158" s="598"/>
      <c r="E158" s="599"/>
      <c r="F158" s="259"/>
    </row>
    <row r="159" spans="1:6" ht="47.25" customHeight="1" x14ac:dyDescent="0.2">
      <c r="A159" s="264" t="s">
        <v>8</v>
      </c>
      <c r="B159" s="264" t="s">
        <v>9</v>
      </c>
      <c r="C159" s="535" t="s">
        <v>10</v>
      </c>
      <c r="D159" s="310" t="s">
        <v>11</v>
      </c>
      <c r="E159" s="537" t="s">
        <v>12</v>
      </c>
      <c r="F159" s="262"/>
    </row>
    <row r="160" spans="1:6" ht="15" customHeight="1" x14ac:dyDescent="0.2">
      <c r="A160" s="434" t="s">
        <v>229</v>
      </c>
      <c r="B160" s="429" t="s">
        <v>230</v>
      </c>
      <c r="C160" s="414">
        <f>+[11]BS17A!$D1481</f>
        <v>0</v>
      </c>
      <c r="D160" s="275">
        <f>+[11]BS17A!$U1481</f>
        <v>41580</v>
      </c>
      <c r="E160" s="344">
        <f>+[11]BS17A!$V1481</f>
        <v>0</v>
      </c>
      <c r="F160" s="262"/>
    </row>
    <row r="161" spans="1:6" ht="15" customHeight="1" x14ac:dyDescent="0.2">
      <c r="A161" s="435" t="s">
        <v>231</v>
      </c>
      <c r="B161" s="431" t="s">
        <v>232</v>
      </c>
      <c r="C161" s="418">
        <f>+[11]BS17A!$D1482</f>
        <v>0</v>
      </c>
      <c r="D161" s="270">
        <f>+[11]BS17A!$U1482</f>
        <v>26150</v>
      </c>
      <c r="E161" s="345">
        <f>+[11]BS17A!$V1482</f>
        <v>0</v>
      </c>
      <c r="F161" s="262"/>
    </row>
    <row r="162" spans="1:6" ht="15" customHeight="1" x14ac:dyDescent="0.2">
      <c r="A162" s="435" t="s">
        <v>233</v>
      </c>
      <c r="B162" s="430" t="s">
        <v>234</v>
      </c>
      <c r="C162" s="418">
        <f>+[11]BS17A!$D1483</f>
        <v>0</v>
      </c>
      <c r="D162" s="270">
        <f>+[11]BS17A!$U1483</f>
        <v>26930</v>
      </c>
      <c r="E162" s="345">
        <f>+[11]BS17A!$V1483</f>
        <v>0</v>
      </c>
      <c r="F162" s="262"/>
    </row>
    <row r="163" spans="1:6" ht="15" customHeight="1" x14ac:dyDescent="0.2">
      <c r="A163" s="435" t="s">
        <v>235</v>
      </c>
      <c r="B163" s="431" t="s">
        <v>236</v>
      </c>
      <c r="C163" s="418">
        <f>+[11]BS17A!$D1484</f>
        <v>0</v>
      </c>
      <c r="D163" s="270">
        <f>+[11]BS17A!$U1484</f>
        <v>808040</v>
      </c>
      <c r="E163" s="345">
        <f>+[11]BS17A!$V1484</f>
        <v>0</v>
      </c>
      <c r="F163" s="262"/>
    </row>
    <row r="164" spans="1:6" ht="15" customHeight="1" x14ac:dyDescent="0.2">
      <c r="A164" s="435" t="s">
        <v>237</v>
      </c>
      <c r="B164" s="431" t="s">
        <v>238</v>
      </c>
      <c r="C164" s="418">
        <f>+[11]BS17A!$D1485</f>
        <v>0</v>
      </c>
      <c r="D164" s="270">
        <f>+[11]BS17A!$U1485</f>
        <v>367020</v>
      </c>
      <c r="E164" s="345">
        <f>+[11]BS17A!$V1485</f>
        <v>0</v>
      </c>
      <c r="F164" s="262"/>
    </row>
    <row r="165" spans="1:6" ht="15" customHeight="1" x14ac:dyDescent="0.2">
      <c r="A165" s="435" t="s">
        <v>239</v>
      </c>
      <c r="B165" s="431" t="s">
        <v>240</v>
      </c>
      <c r="C165" s="418">
        <f>+[11]BS17A!$D1486</f>
        <v>0</v>
      </c>
      <c r="D165" s="270">
        <f>+[11]BS17A!$U1486</f>
        <v>561210</v>
      </c>
      <c r="E165" s="345">
        <f>+[11]BS17A!$V1486</f>
        <v>0</v>
      </c>
      <c r="F165" s="262"/>
    </row>
    <row r="166" spans="1:6" ht="15" customHeight="1" x14ac:dyDescent="0.2">
      <c r="A166" s="467" t="s">
        <v>241</v>
      </c>
      <c r="B166" s="465" t="s">
        <v>242</v>
      </c>
      <c r="C166" s="418">
        <f>+[11]BS17A!$D1487</f>
        <v>0</v>
      </c>
      <c r="D166" s="270">
        <f>+[11]BS17A!$U1487</f>
        <v>50600</v>
      </c>
      <c r="E166" s="345">
        <f>+[11]BS17A!$V1487</f>
        <v>0</v>
      </c>
      <c r="F166" s="262"/>
    </row>
    <row r="167" spans="1:6" ht="15" customHeight="1" x14ac:dyDescent="0.2">
      <c r="A167" s="468">
        <v>1901029</v>
      </c>
      <c r="B167" s="466" t="s">
        <v>243</v>
      </c>
      <c r="C167" s="415">
        <f>+[11]BS17A!$D1488</f>
        <v>0</v>
      </c>
      <c r="D167" s="277">
        <f>+[11]BS17A!$U1488</f>
        <v>657830</v>
      </c>
      <c r="E167" s="350">
        <f>+[11]BS17A!$V1488</f>
        <v>0</v>
      </c>
      <c r="F167" s="262"/>
    </row>
    <row r="168" spans="1:6" ht="15" customHeight="1" x14ac:dyDescent="0.2">
      <c r="A168" s="334"/>
      <c r="B168" s="351" t="s">
        <v>244</v>
      </c>
      <c r="C168" s="352">
        <f>SUM(C160:C167)</f>
        <v>0</v>
      </c>
      <c r="D168" s="353"/>
      <c r="E168" s="354">
        <f>SUM(E160:E167)</f>
        <v>0</v>
      </c>
      <c r="F168" s="262"/>
    </row>
    <row r="169" spans="1:6" ht="12.75" x14ac:dyDescent="0.2">
      <c r="A169" s="262"/>
      <c r="B169" s="262"/>
      <c r="C169" s="262"/>
      <c r="D169" s="262"/>
      <c r="E169" s="262"/>
      <c r="F169" s="262"/>
    </row>
    <row r="170" spans="1:6" ht="18" customHeight="1" x14ac:dyDescent="0.2">
      <c r="A170" s="262"/>
      <c r="B170" s="262"/>
      <c r="C170" s="262"/>
      <c r="D170" s="262"/>
      <c r="E170" s="262"/>
      <c r="F170" s="262"/>
    </row>
    <row r="171" spans="1:6" ht="18" customHeight="1" x14ac:dyDescent="0.2">
      <c r="A171" s="583" t="s">
        <v>245</v>
      </c>
      <c r="B171" s="584"/>
      <c r="C171" s="584"/>
      <c r="D171" s="584"/>
      <c r="E171" s="585"/>
      <c r="F171" s="259"/>
    </row>
    <row r="172" spans="1:6" ht="46.5" customHeight="1" x14ac:dyDescent="0.2">
      <c r="A172" s="264" t="s">
        <v>8</v>
      </c>
      <c r="B172" s="264" t="s">
        <v>9</v>
      </c>
      <c r="C172" s="535" t="s">
        <v>10</v>
      </c>
      <c r="D172" s="310" t="s">
        <v>11</v>
      </c>
      <c r="E172" s="537" t="s">
        <v>12</v>
      </c>
      <c r="F172" s="262"/>
    </row>
    <row r="173" spans="1:6" ht="12.75" customHeight="1" x14ac:dyDescent="0.2">
      <c r="A173" s="463">
        <v>1101004</v>
      </c>
      <c r="B173" s="458" t="s">
        <v>246</v>
      </c>
      <c r="C173" s="383">
        <f>+[11]BS17A!$D805</f>
        <v>9</v>
      </c>
      <c r="D173" s="275">
        <f>+[11]BS17A!$U805</f>
        <v>14260</v>
      </c>
      <c r="E173" s="344">
        <f>+[11]BS17A!$V805</f>
        <v>128340</v>
      </c>
      <c r="F173" s="262"/>
    </row>
    <row r="174" spans="1:6" ht="12.75" customHeight="1" x14ac:dyDescent="0.2">
      <c r="A174" s="457">
        <v>1101006</v>
      </c>
      <c r="B174" s="459" t="s">
        <v>247</v>
      </c>
      <c r="C174" s="380">
        <f>+[11]BS17A!$D806</f>
        <v>0</v>
      </c>
      <c r="D174" s="270">
        <f>+[11]BS17A!$U806</f>
        <v>11400</v>
      </c>
      <c r="E174" s="345">
        <f>+[11]BS17A!$V806</f>
        <v>0</v>
      </c>
      <c r="F174" s="262"/>
    </row>
    <row r="175" spans="1:6" ht="24.75" customHeight="1" x14ac:dyDescent="0.2">
      <c r="A175" s="457" t="s">
        <v>248</v>
      </c>
      <c r="B175" s="460" t="s">
        <v>249</v>
      </c>
      <c r="C175" s="380">
        <f>+[11]BS17A!$D1197</f>
        <v>625</v>
      </c>
      <c r="D175" s="270">
        <f>+[11]BS17A!$U1197</f>
        <v>4880</v>
      </c>
      <c r="E175" s="345">
        <f>+[11]BS17A!$V1197</f>
        <v>3050000</v>
      </c>
      <c r="F175" s="262"/>
    </row>
    <row r="176" spans="1:6" ht="24.75" customHeight="1" x14ac:dyDescent="0.2">
      <c r="A176" s="457" t="s">
        <v>250</v>
      </c>
      <c r="B176" s="460" t="s">
        <v>251</v>
      </c>
      <c r="C176" s="380">
        <f>+[11]BS17A!$D1198</f>
        <v>17</v>
      </c>
      <c r="D176" s="270">
        <f>+[11]BS17A!$U1198</f>
        <v>13770</v>
      </c>
      <c r="E176" s="345">
        <f>+[11]BS17A!$V1198</f>
        <v>234090</v>
      </c>
      <c r="F176" s="262"/>
    </row>
    <row r="177" spans="1:6" ht="24.75" customHeight="1" x14ac:dyDescent="0.2">
      <c r="A177" s="457" t="s">
        <v>252</v>
      </c>
      <c r="B177" s="460" t="s">
        <v>253</v>
      </c>
      <c r="C177" s="380">
        <f>+[11]BS17A!$D1199</f>
        <v>41</v>
      </c>
      <c r="D177" s="270">
        <f>+[11]BS17A!$U1199</f>
        <v>23350</v>
      </c>
      <c r="E177" s="345">
        <f>+[11]BS17A!$V1199</f>
        <v>957350</v>
      </c>
      <c r="F177" s="262"/>
    </row>
    <row r="178" spans="1:6" ht="12.75" customHeight="1" x14ac:dyDescent="0.2">
      <c r="A178" s="457" t="s">
        <v>254</v>
      </c>
      <c r="B178" s="460" t="s">
        <v>255</v>
      </c>
      <c r="C178" s="380">
        <f>+[11]BS17A!$D1200</f>
        <v>0</v>
      </c>
      <c r="D178" s="270">
        <f>+[11]BS17A!$U1200</f>
        <v>44580</v>
      </c>
      <c r="E178" s="345">
        <f>+[11]BS17A!$V1200</f>
        <v>0</v>
      </c>
      <c r="F178" s="262"/>
    </row>
    <row r="179" spans="1:6" ht="12.75" customHeight="1" x14ac:dyDescent="0.2">
      <c r="A179" s="457" t="s">
        <v>256</v>
      </c>
      <c r="B179" s="460" t="s">
        <v>257</v>
      </c>
      <c r="C179" s="380">
        <f>+[11]BS17A!$D1201</f>
        <v>213</v>
      </c>
      <c r="D179" s="270">
        <f>+[11]BS17A!$U1201</f>
        <v>49690</v>
      </c>
      <c r="E179" s="345">
        <f>+[11]BS17A!$V1201</f>
        <v>10583970</v>
      </c>
      <c r="F179" s="262"/>
    </row>
    <row r="180" spans="1:6" ht="24.75" customHeight="1" x14ac:dyDescent="0.2">
      <c r="A180" s="457" t="s">
        <v>258</v>
      </c>
      <c r="B180" s="460" t="s">
        <v>259</v>
      </c>
      <c r="C180" s="380">
        <f>+[11]BS17A!$D1202</f>
        <v>0</v>
      </c>
      <c r="D180" s="270">
        <f>+[11]BS17A!$U1202</f>
        <v>27870</v>
      </c>
      <c r="E180" s="345">
        <f>+[11]BS17A!$V1202</f>
        <v>0</v>
      </c>
      <c r="F180" s="262"/>
    </row>
    <row r="181" spans="1:6" ht="12.75" customHeight="1" x14ac:dyDescent="0.2">
      <c r="A181" s="457" t="s">
        <v>260</v>
      </c>
      <c r="B181" s="461" t="s">
        <v>261</v>
      </c>
      <c r="C181" s="380">
        <f>+[11]BS17A!$D1203</f>
        <v>0</v>
      </c>
      <c r="D181" s="270">
        <f>+[11]BS17A!$U1203</f>
        <v>215630</v>
      </c>
      <c r="E181" s="345">
        <f>+[11]BS17A!$V1203</f>
        <v>0</v>
      </c>
      <c r="F181" s="262"/>
    </row>
    <row r="182" spans="1:6" ht="12.75" customHeight="1" x14ac:dyDescent="0.2">
      <c r="A182" s="457" t="s">
        <v>262</v>
      </c>
      <c r="B182" s="460" t="s">
        <v>263</v>
      </c>
      <c r="C182" s="380">
        <f>+[11]BS17A!$D1204</f>
        <v>0</v>
      </c>
      <c r="D182" s="270">
        <f>+[11]BS17A!$U1204</f>
        <v>245140</v>
      </c>
      <c r="E182" s="345">
        <f>+[11]BS17A!$V1204</f>
        <v>0</v>
      </c>
      <c r="F182" s="262"/>
    </row>
    <row r="183" spans="1:6" ht="12.75" customHeight="1" x14ac:dyDescent="0.2">
      <c r="A183" s="457" t="s">
        <v>264</v>
      </c>
      <c r="B183" s="460" t="s">
        <v>265</v>
      </c>
      <c r="C183" s="380">
        <f>+[11]BS17A!$D1205</f>
        <v>0</v>
      </c>
      <c r="D183" s="270">
        <f>+[11]BS17A!$U1205</f>
        <v>199900</v>
      </c>
      <c r="E183" s="345">
        <f>+[11]BS17A!$V1205</f>
        <v>0</v>
      </c>
      <c r="F183" s="262"/>
    </row>
    <row r="184" spans="1:6" ht="24.75" customHeight="1" x14ac:dyDescent="0.2">
      <c r="A184" s="457" t="s">
        <v>266</v>
      </c>
      <c r="B184" s="461" t="s">
        <v>267</v>
      </c>
      <c r="C184" s="380">
        <f>+[11]BS17A!$D1206</f>
        <v>0</v>
      </c>
      <c r="D184" s="270">
        <f>+[11]BS17A!$U1206</f>
        <v>256770</v>
      </c>
      <c r="E184" s="345">
        <f>+[11]BS17A!$V1206</f>
        <v>0</v>
      </c>
      <c r="F184" s="262"/>
    </row>
    <row r="185" spans="1:6" ht="24.75" customHeight="1" x14ac:dyDescent="0.2">
      <c r="A185" s="457" t="s">
        <v>268</v>
      </c>
      <c r="B185" s="461" t="s">
        <v>269</v>
      </c>
      <c r="C185" s="380">
        <f>+[11]BS17A!$D1207</f>
        <v>0</v>
      </c>
      <c r="D185" s="270">
        <f>+[11]BS17A!$U1207</f>
        <v>262730</v>
      </c>
      <c r="E185" s="345">
        <f>+[11]BS17A!$V1207</f>
        <v>0</v>
      </c>
      <c r="F185" s="262"/>
    </row>
    <row r="186" spans="1:6" ht="24.75" customHeight="1" x14ac:dyDescent="0.2">
      <c r="A186" s="457" t="s">
        <v>270</v>
      </c>
      <c r="B186" s="461" t="s">
        <v>271</v>
      </c>
      <c r="C186" s="380">
        <f>+[11]BS17A!$D1208</f>
        <v>0</v>
      </c>
      <c r="D186" s="270">
        <f>+[11]BS17A!$U1208</f>
        <v>222180</v>
      </c>
      <c r="E186" s="345">
        <f>+[11]BS17A!$V1208</f>
        <v>0</v>
      </c>
      <c r="F186" s="262"/>
    </row>
    <row r="187" spans="1:6" ht="12.75" customHeight="1" x14ac:dyDescent="0.2">
      <c r="A187" s="457" t="s">
        <v>272</v>
      </c>
      <c r="B187" s="461" t="s">
        <v>273</v>
      </c>
      <c r="C187" s="380">
        <f>+[11]BS17A!$D1209</f>
        <v>0</v>
      </c>
      <c r="D187" s="270">
        <f>+[11]BS17A!$U1209</f>
        <v>237160</v>
      </c>
      <c r="E187" s="345">
        <f>+[11]BS17A!$V1209</f>
        <v>0</v>
      </c>
      <c r="F187" s="262"/>
    </row>
    <row r="188" spans="1:6" ht="12.75" customHeight="1" x14ac:dyDescent="0.2">
      <c r="A188" s="457" t="s">
        <v>274</v>
      </c>
      <c r="B188" s="461" t="s">
        <v>275</v>
      </c>
      <c r="C188" s="380">
        <f>+[11]BS17A!$D1210</f>
        <v>0</v>
      </c>
      <c r="D188" s="270">
        <f>+[11]BS17A!$U1210</f>
        <v>283580</v>
      </c>
      <c r="E188" s="345">
        <f>+[11]BS17A!$V1210</f>
        <v>0</v>
      </c>
      <c r="F188" s="262"/>
    </row>
    <row r="189" spans="1:6" ht="24.75" customHeight="1" x14ac:dyDescent="0.2">
      <c r="A189" s="457" t="s">
        <v>276</v>
      </c>
      <c r="B189" s="460" t="s">
        <v>277</v>
      </c>
      <c r="C189" s="380">
        <f>+[11]BS17A!$D1211</f>
        <v>0</v>
      </c>
      <c r="D189" s="270">
        <f>+[11]BS17A!$U1211</f>
        <v>251470</v>
      </c>
      <c r="E189" s="345">
        <f>+[11]BS17A!$V1211</f>
        <v>0</v>
      </c>
      <c r="F189" s="262"/>
    </row>
    <row r="190" spans="1:6" ht="24.75" customHeight="1" x14ac:dyDescent="0.2">
      <c r="A190" s="457" t="s">
        <v>278</v>
      </c>
      <c r="B190" s="461" t="s">
        <v>279</v>
      </c>
      <c r="C190" s="380">
        <f>+[11]BS17A!$D1212</f>
        <v>0</v>
      </c>
      <c r="D190" s="270">
        <f>+[11]BS17A!$U1212</f>
        <v>1840310</v>
      </c>
      <c r="E190" s="345">
        <f>+[11]BS17A!$V1212</f>
        <v>0</v>
      </c>
      <c r="F190" s="262"/>
    </row>
    <row r="191" spans="1:6" ht="12.75" customHeight="1" x14ac:dyDescent="0.2">
      <c r="A191" s="457" t="s">
        <v>280</v>
      </c>
      <c r="B191" s="461" t="s">
        <v>281</v>
      </c>
      <c r="C191" s="380">
        <f>+[11]BS17A!$D1213</f>
        <v>0</v>
      </c>
      <c r="D191" s="270">
        <f>+[11]BS17A!$U1213</f>
        <v>1149460</v>
      </c>
      <c r="E191" s="345">
        <f>+[11]BS17A!$V1213</f>
        <v>0</v>
      </c>
      <c r="F191" s="262"/>
    </row>
    <row r="192" spans="1:6" ht="12.75" customHeight="1" x14ac:dyDescent="0.2">
      <c r="A192" s="435" t="s">
        <v>282</v>
      </c>
      <c r="B192" s="461" t="s">
        <v>283</v>
      </c>
      <c r="C192" s="380">
        <f>+[11]BS17A!$D1214</f>
        <v>0</v>
      </c>
      <c r="D192" s="270">
        <f>+[11]BS17A!$U1214</f>
        <v>1112540</v>
      </c>
      <c r="E192" s="345">
        <f>+[11]BS17A!$V1214</f>
        <v>0</v>
      </c>
      <c r="F192" s="262"/>
    </row>
    <row r="193" spans="1:6" ht="24.75" customHeight="1" x14ac:dyDescent="0.2">
      <c r="A193" s="457" t="s">
        <v>284</v>
      </c>
      <c r="B193" s="461" t="s">
        <v>285</v>
      </c>
      <c r="C193" s="380">
        <f>+[11]BS17A!$D1215</f>
        <v>0</v>
      </c>
      <c r="D193" s="270">
        <f>+[11]BS17A!$U1215</f>
        <v>1165530</v>
      </c>
      <c r="E193" s="345">
        <f>+[11]BS17A!$V1215</f>
        <v>0</v>
      </c>
      <c r="F193" s="262"/>
    </row>
    <row r="194" spans="1:6" ht="12.75" customHeight="1" x14ac:dyDescent="0.2">
      <c r="A194" s="435" t="s">
        <v>286</v>
      </c>
      <c r="B194" s="461" t="s">
        <v>287</v>
      </c>
      <c r="C194" s="380">
        <f>+[11]BS17A!$D1216</f>
        <v>0</v>
      </c>
      <c r="D194" s="270">
        <f>+[11]BS17A!$U1216</f>
        <v>164930</v>
      </c>
      <c r="E194" s="345">
        <f>+[11]BS17A!$V1216</f>
        <v>0</v>
      </c>
      <c r="F194" s="262"/>
    </row>
    <row r="195" spans="1:6" ht="12.75" customHeight="1" x14ac:dyDescent="0.2">
      <c r="A195" s="435" t="s">
        <v>288</v>
      </c>
      <c r="B195" s="461" t="s">
        <v>289</v>
      </c>
      <c r="C195" s="380">
        <f>+[11]BS17A!$D1217</f>
        <v>0</v>
      </c>
      <c r="D195" s="270">
        <f>+[11]BS17A!$U1217</f>
        <v>376370</v>
      </c>
      <c r="E195" s="345">
        <f>+[11]BS17A!$V1217</f>
        <v>0</v>
      </c>
      <c r="F195" s="262"/>
    </row>
    <row r="196" spans="1:6" ht="12.75" customHeight="1" x14ac:dyDescent="0.2">
      <c r="A196" s="457" t="s">
        <v>290</v>
      </c>
      <c r="B196" s="461" t="s">
        <v>291</v>
      </c>
      <c r="C196" s="380">
        <f>+[11]BS17A!$D1218</f>
        <v>0</v>
      </c>
      <c r="D196" s="270">
        <f>+[11]BS17A!$U1218</f>
        <v>139530</v>
      </c>
      <c r="E196" s="345">
        <f>+[11]BS17A!$V1218</f>
        <v>0</v>
      </c>
      <c r="F196" s="262"/>
    </row>
    <row r="197" spans="1:6" ht="12.75" customHeight="1" x14ac:dyDescent="0.2">
      <c r="A197" s="457" t="s">
        <v>292</v>
      </c>
      <c r="B197" s="461" t="s">
        <v>293</v>
      </c>
      <c r="C197" s="380">
        <f>+[11]BS17A!$D1219</f>
        <v>0</v>
      </c>
      <c r="D197" s="270">
        <f>+[11]BS17A!$U1219</f>
        <v>1130520</v>
      </c>
      <c r="E197" s="345">
        <f>+[11]BS17A!$V1219</f>
        <v>0</v>
      </c>
      <c r="F197" s="262"/>
    </row>
    <row r="198" spans="1:6" ht="12.75" customHeight="1" x14ac:dyDescent="0.2">
      <c r="A198" s="457" t="s">
        <v>294</v>
      </c>
      <c r="B198" s="461" t="s">
        <v>295</v>
      </c>
      <c r="C198" s="380">
        <f>+[11]BS17A!$D1220</f>
        <v>0</v>
      </c>
      <c r="D198" s="270">
        <f>+[11]BS17A!$U1220</f>
        <v>1130520</v>
      </c>
      <c r="E198" s="345">
        <f>+[11]BS17A!$V1220</f>
        <v>0</v>
      </c>
      <c r="F198" s="262"/>
    </row>
    <row r="199" spans="1:6" ht="12.75" customHeight="1" x14ac:dyDescent="0.2">
      <c r="A199" s="457">
        <v>1801001</v>
      </c>
      <c r="B199" s="459" t="s">
        <v>296</v>
      </c>
      <c r="C199" s="380">
        <f>+[11]BS17A!$D1354</f>
        <v>81</v>
      </c>
      <c r="D199" s="270">
        <f>+[11]BS17A!$U1354</f>
        <v>33720</v>
      </c>
      <c r="E199" s="345">
        <f>+[11]BS17A!$V1354</f>
        <v>2731320</v>
      </c>
      <c r="F199" s="262"/>
    </row>
    <row r="200" spans="1:6" ht="12.75" customHeight="1" x14ac:dyDescent="0.2">
      <c r="A200" s="457">
        <v>1801003</v>
      </c>
      <c r="B200" s="461" t="s">
        <v>297</v>
      </c>
      <c r="C200" s="380">
        <f>+[11]BS17A!$D1355</f>
        <v>0</v>
      </c>
      <c r="D200" s="270">
        <f>+[11]BS17A!$U1355</f>
        <v>40670</v>
      </c>
      <c r="E200" s="345">
        <f>+[11]BS17A!$V1355</f>
        <v>0</v>
      </c>
      <c r="F200" s="262"/>
    </row>
    <row r="201" spans="1:6" ht="12.75" customHeight="1" x14ac:dyDescent="0.2">
      <c r="A201" s="457">
        <v>1801006</v>
      </c>
      <c r="B201" s="459" t="s">
        <v>298</v>
      </c>
      <c r="C201" s="380">
        <f>+[11]BS17A!$D1356</f>
        <v>15</v>
      </c>
      <c r="D201" s="270">
        <f>+[11]BS17A!$U1356</f>
        <v>43320</v>
      </c>
      <c r="E201" s="345">
        <f>+[11]BS17A!$V1356</f>
        <v>649800</v>
      </c>
      <c r="F201" s="262"/>
    </row>
    <row r="202" spans="1:6" ht="24.75" customHeight="1" x14ac:dyDescent="0.2">
      <c r="A202" s="457" t="s">
        <v>299</v>
      </c>
      <c r="B202" s="459" t="s">
        <v>300</v>
      </c>
      <c r="C202" s="380">
        <f>[11]BS17A!D1036</f>
        <v>0</v>
      </c>
      <c r="D202" s="270">
        <f>[11]BS17A!U1036</f>
        <v>9120</v>
      </c>
      <c r="E202" s="345">
        <f>[11]BS17A!V1036</f>
        <v>0</v>
      </c>
      <c r="F202" s="262"/>
    </row>
    <row r="203" spans="1:6" ht="24.75" customHeight="1" x14ac:dyDescent="0.2">
      <c r="A203" s="464" t="s">
        <v>301</v>
      </c>
      <c r="B203" s="462" t="s">
        <v>302</v>
      </c>
      <c r="C203" s="417">
        <f>[11]BS17A!D807</f>
        <v>0</v>
      </c>
      <c r="D203" s="355">
        <f>[11]BS17A!U807</f>
        <v>386950</v>
      </c>
      <c r="E203" s="356">
        <f>[11]BS17A!V807</f>
        <v>0</v>
      </c>
      <c r="F203" s="262"/>
    </row>
    <row r="204" spans="1:6" ht="17.25" customHeight="1" x14ac:dyDescent="0.2">
      <c r="A204" s="442"/>
      <c r="B204" s="441" t="s">
        <v>303</v>
      </c>
      <c r="C204" s="279">
        <f>SUM(C173:C203)</f>
        <v>1001</v>
      </c>
      <c r="D204" s="348"/>
      <c r="E204" s="349">
        <f>SUM(E173:E203)</f>
        <v>18334870</v>
      </c>
      <c r="F204" s="262"/>
    </row>
    <row r="205" spans="1:6" ht="21.75" customHeight="1" x14ac:dyDescent="0.2">
      <c r="A205" s="262"/>
      <c r="B205" s="262"/>
      <c r="C205" s="262"/>
      <c r="D205" s="262"/>
      <c r="E205" s="262"/>
      <c r="F205" s="262"/>
    </row>
    <row r="206" spans="1:6" ht="19.5" customHeight="1" x14ac:dyDescent="0.2">
      <c r="A206" s="262"/>
      <c r="B206" s="262"/>
      <c r="C206" s="262"/>
      <c r="D206" s="262"/>
      <c r="E206" s="262"/>
      <c r="F206" s="262"/>
    </row>
    <row r="207" spans="1:6" ht="18" customHeight="1" x14ac:dyDescent="0.2">
      <c r="A207" s="583" t="s">
        <v>304</v>
      </c>
      <c r="B207" s="584"/>
      <c r="C207" s="584"/>
      <c r="D207" s="584"/>
      <c r="E207" s="585"/>
      <c r="F207" s="259"/>
    </row>
    <row r="208" spans="1:6" ht="39.75" customHeight="1" x14ac:dyDescent="0.2">
      <c r="A208" s="264" t="s">
        <v>8</v>
      </c>
      <c r="B208" s="264" t="s">
        <v>9</v>
      </c>
      <c r="C208" s="535" t="s">
        <v>10</v>
      </c>
      <c r="D208" s="310" t="s">
        <v>11</v>
      </c>
      <c r="E208" s="537" t="s">
        <v>12</v>
      </c>
      <c r="F208" s="259"/>
    </row>
    <row r="209" spans="1:6" ht="12.75" customHeight="1" x14ac:dyDescent="0.2">
      <c r="A209" s="434" t="s">
        <v>305</v>
      </c>
      <c r="B209" s="451" t="s">
        <v>306</v>
      </c>
      <c r="C209" s="383">
        <f>+[11]BS17A!$D18</f>
        <v>0</v>
      </c>
      <c r="D209" s="275">
        <f>+[11]BS17A!$U18</f>
        <v>14110</v>
      </c>
      <c r="E209" s="344">
        <f>+[11]BS17A!$V18</f>
        <v>0</v>
      </c>
      <c r="F209" s="262"/>
    </row>
    <row r="210" spans="1:6" ht="12.75" customHeight="1" x14ac:dyDescent="0.2">
      <c r="A210" s="435" t="s">
        <v>307</v>
      </c>
      <c r="B210" s="431" t="s">
        <v>308</v>
      </c>
      <c r="C210" s="380">
        <f>+[11]BS17A!$D19</f>
        <v>47</v>
      </c>
      <c r="D210" s="270">
        <f>+[11]BS17A!$U19</f>
        <v>14110</v>
      </c>
      <c r="E210" s="345">
        <f>+[11]BS17A!$V19</f>
        <v>663170</v>
      </c>
      <c r="F210" s="262"/>
    </row>
    <row r="211" spans="1:6" ht="12.75" customHeight="1" x14ac:dyDescent="0.2">
      <c r="A211" s="435" t="s">
        <v>309</v>
      </c>
      <c r="B211" s="430" t="s">
        <v>310</v>
      </c>
      <c r="C211" s="380">
        <f>+[11]BS17A!$D47</f>
        <v>0</v>
      </c>
      <c r="D211" s="270">
        <f>+[11]BS17A!$U47</f>
        <v>1350</v>
      </c>
      <c r="E211" s="345">
        <f>+[11]BS17A!$V47</f>
        <v>0</v>
      </c>
      <c r="F211" s="262"/>
    </row>
    <row r="212" spans="1:6" ht="12.75" customHeight="1" x14ac:dyDescent="0.2">
      <c r="A212" s="435" t="s">
        <v>311</v>
      </c>
      <c r="B212" s="430" t="s">
        <v>312</v>
      </c>
      <c r="C212" s="380">
        <f>+[11]BS17A!$D48</f>
        <v>524</v>
      </c>
      <c r="D212" s="270">
        <f>+[11]BS17A!$U48</f>
        <v>660</v>
      </c>
      <c r="E212" s="345">
        <f>+[11]BS17A!$V48</f>
        <v>345840</v>
      </c>
      <c r="F212" s="262"/>
    </row>
    <row r="213" spans="1:6" ht="12.75" customHeight="1" x14ac:dyDescent="0.2">
      <c r="A213" s="435" t="s">
        <v>313</v>
      </c>
      <c r="B213" s="431" t="s">
        <v>314</v>
      </c>
      <c r="C213" s="380">
        <f>+[11]BS17A!$D49</f>
        <v>516</v>
      </c>
      <c r="D213" s="270">
        <f>+[11]BS17A!$U49</f>
        <v>2000</v>
      </c>
      <c r="E213" s="345">
        <f>+[11]BS17A!$V49</f>
        <v>1032000</v>
      </c>
      <c r="F213" s="262"/>
    </row>
    <row r="214" spans="1:6" ht="12.75" customHeight="1" x14ac:dyDescent="0.2">
      <c r="A214" s="435" t="s">
        <v>315</v>
      </c>
      <c r="B214" s="431" t="s">
        <v>316</v>
      </c>
      <c r="C214" s="380">
        <f>+[11]BS17A!$D50</f>
        <v>57</v>
      </c>
      <c r="D214" s="270">
        <f>+[11]BS17A!$U50</f>
        <v>15030</v>
      </c>
      <c r="E214" s="345">
        <f>+[11]BS17A!$V50</f>
        <v>856710</v>
      </c>
      <c r="F214" s="262"/>
    </row>
    <row r="215" spans="1:6" ht="12.75" customHeight="1" x14ac:dyDescent="0.2">
      <c r="A215" s="435" t="s">
        <v>317</v>
      </c>
      <c r="B215" s="430" t="s">
        <v>318</v>
      </c>
      <c r="C215" s="380">
        <f>+[11]BS17A!$D51</f>
        <v>120</v>
      </c>
      <c r="D215" s="270">
        <f>+[11]BS17A!$U51</f>
        <v>34510</v>
      </c>
      <c r="E215" s="345">
        <f>+[11]BS17A!$V51</f>
        <v>4141200</v>
      </c>
      <c r="F215" s="262"/>
    </row>
    <row r="216" spans="1:6" ht="12.75" customHeight="1" x14ac:dyDescent="0.2">
      <c r="A216" s="457" t="s">
        <v>319</v>
      </c>
      <c r="B216" s="430" t="s">
        <v>320</v>
      </c>
      <c r="C216" s="380">
        <f>+[11]BS17A!D52</f>
        <v>50</v>
      </c>
      <c r="D216" s="357"/>
      <c r="E216" s="345">
        <f>+[11]BS17A!V52</f>
        <v>430500</v>
      </c>
      <c r="F216" s="262"/>
    </row>
    <row r="217" spans="1:6" ht="12.75" customHeight="1" x14ac:dyDescent="0.2">
      <c r="A217" s="436" t="s">
        <v>321</v>
      </c>
      <c r="B217" s="432" t="s">
        <v>322</v>
      </c>
      <c r="C217" s="395">
        <f>+[11]BS17A!$D1861</f>
        <v>49</v>
      </c>
      <c r="D217" s="277">
        <f>+[11]BS17A!$U1861</f>
        <v>27970</v>
      </c>
      <c r="E217" s="350">
        <f>+[11]BS17A!$V1861</f>
        <v>1370530</v>
      </c>
      <c r="F217" s="262"/>
    </row>
    <row r="218" spans="1:6" ht="12.75" x14ac:dyDescent="0.2">
      <c r="A218" s="442"/>
      <c r="B218" s="441" t="s">
        <v>323</v>
      </c>
      <c r="C218" s="279">
        <f>SUM(C209:C217)</f>
        <v>1363</v>
      </c>
      <c r="D218" s="348"/>
      <c r="E218" s="356">
        <f>SUM(E209:E217)</f>
        <v>8839950</v>
      </c>
      <c r="F218" s="262"/>
    </row>
    <row r="219" spans="1:6" ht="17.25" customHeight="1" x14ac:dyDescent="0.2">
      <c r="A219" s="262"/>
      <c r="B219" s="262"/>
      <c r="C219" s="262"/>
      <c r="D219" s="262"/>
      <c r="E219" s="262"/>
      <c r="F219" s="262"/>
    </row>
    <row r="220" spans="1:6" ht="18" customHeight="1" x14ac:dyDescent="0.2">
      <c r="A220" s="262"/>
      <c r="B220" s="262"/>
      <c r="C220" s="262"/>
      <c r="D220" s="262"/>
      <c r="E220" s="262"/>
      <c r="F220" s="262"/>
    </row>
    <row r="221" spans="1:6" ht="27.75" customHeight="1" x14ac:dyDescent="0.2">
      <c r="A221" s="605" t="s">
        <v>324</v>
      </c>
      <c r="B221" s="606"/>
      <c r="C221" s="607"/>
      <c r="D221" s="262"/>
      <c r="E221" s="262"/>
      <c r="F221" s="259"/>
    </row>
    <row r="222" spans="1:6" ht="42.75" customHeight="1" x14ac:dyDescent="0.2">
      <c r="A222" s="264" t="s">
        <v>8</v>
      </c>
      <c r="B222" s="264" t="s">
        <v>10</v>
      </c>
      <c r="C222" s="264" t="s">
        <v>12</v>
      </c>
      <c r="D222" s="259"/>
      <c r="E222" s="262"/>
      <c r="F222" s="262"/>
    </row>
    <row r="223" spans="1:6" ht="15" customHeight="1" x14ac:dyDescent="0.2">
      <c r="A223" s="434" t="s">
        <v>325</v>
      </c>
      <c r="B223" s="452" t="s">
        <v>326</v>
      </c>
      <c r="C223" s="358"/>
      <c r="D223" s="359"/>
      <c r="E223" s="262"/>
      <c r="F223" s="262"/>
    </row>
    <row r="224" spans="1:6" ht="15" customHeight="1" x14ac:dyDescent="0.2">
      <c r="A224" s="455" t="s">
        <v>327</v>
      </c>
      <c r="B224" s="453" t="s">
        <v>328</v>
      </c>
      <c r="C224" s="360"/>
      <c r="D224" s="359"/>
      <c r="E224" s="262"/>
      <c r="F224" s="262"/>
    </row>
    <row r="225" spans="1:7" ht="18" customHeight="1" x14ac:dyDescent="0.2">
      <c r="A225" s="456"/>
      <c r="B225" s="454" t="s">
        <v>329</v>
      </c>
      <c r="C225" s="416">
        <f>SUM(C223:C224)</f>
        <v>0</v>
      </c>
      <c r="D225" s="359"/>
      <c r="E225" s="262"/>
      <c r="F225" s="262"/>
    </row>
    <row r="226" spans="1:7" ht="18" customHeight="1" x14ac:dyDescent="0.2">
      <c r="A226" s="262"/>
      <c r="B226" s="262"/>
      <c r="C226" s="262"/>
      <c r="D226" s="359"/>
      <c r="E226" s="359"/>
      <c r="F226" s="359"/>
    </row>
    <row r="227" spans="1:7" ht="18" customHeight="1" x14ac:dyDescent="0.2">
      <c r="A227" s="262"/>
      <c r="B227" s="262"/>
      <c r="C227" s="262"/>
      <c r="D227" s="262"/>
      <c r="E227" s="262"/>
      <c r="F227" s="359"/>
      <c r="G227" s="361"/>
    </row>
    <row r="228" spans="1:7" ht="18" customHeight="1" x14ac:dyDescent="0.2">
      <c r="A228" s="583" t="s">
        <v>330</v>
      </c>
      <c r="B228" s="584"/>
      <c r="C228" s="584"/>
      <c r="D228" s="584"/>
      <c r="E228" s="585"/>
      <c r="F228" s="359"/>
      <c r="G228" s="361"/>
    </row>
    <row r="229" spans="1:7" ht="56.25" customHeight="1" x14ac:dyDescent="0.2">
      <c r="A229" s="264" t="s">
        <v>8</v>
      </c>
      <c r="B229" s="264" t="s">
        <v>9</v>
      </c>
      <c r="C229" s="535" t="s">
        <v>10</v>
      </c>
      <c r="D229" s="310" t="s">
        <v>11</v>
      </c>
      <c r="E229" s="537" t="s">
        <v>12</v>
      </c>
      <c r="F229" s="359"/>
      <c r="G229" s="361"/>
    </row>
    <row r="230" spans="1:7" ht="15" customHeight="1" x14ac:dyDescent="0.2">
      <c r="A230" s="434" t="s">
        <v>331</v>
      </c>
      <c r="B230" s="451" t="s">
        <v>332</v>
      </c>
      <c r="C230" s="414">
        <f>+[11]BS17A!$D1941</f>
        <v>509</v>
      </c>
      <c r="D230" s="275">
        <f>+[11]BS17A!$U1941</f>
        <v>19310</v>
      </c>
      <c r="E230" s="344">
        <f>+[11]BS17A!$V1941</f>
        <v>9828790</v>
      </c>
      <c r="F230" s="262"/>
    </row>
    <row r="231" spans="1:7" ht="15" customHeight="1" x14ac:dyDescent="0.2">
      <c r="A231" s="436" t="s">
        <v>333</v>
      </c>
      <c r="B231" s="432" t="s">
        <v>334</v>
      </c>
      <c r="C231" s="415">
        <f>+[11]BS17A!$D1942</f>
        <v>0</v>
      </c>
      <c r="D231" s="277">
        <f>+[11]BS17A!$U1942</f>
        <v>242060</v>
      </c>
      <c r="E231" s="350">
        <f>+[11]BS17A!$V1942</f>
        <v>0</v>
      </c>
      <c r="F231" s="262"/>
    </row>
    <row r="232" spans="1:7" ht="18" customHeight="1" x14ac:dyDescent="0.2">
      <c r="A232" s="442"/>
      <c r="B232" s="441" t="s">
        <v>335</v>
      </c>
      <c r="C232" s="279">
        <f>SUM(C230:C231)</f>
        <v>509</v>
      </c>
      <c r="D232" s="348"/>
      <c r="E232" s="349">
        <f>SUM(E230:E231)</f>
        <v>9828790</v>
      </c>
      <c r="F232" s="262"/>
    </row>
    <row r="233" spans="1:7" ht="18" customHeight="1" x14ac:dyDescent="0.2">
      <c r="A233" s="362"/>
      <c r="B233" s="363"/>
      <c r="C233" s="364"/>
      <c r="D233" s="362"/>
      <c r="E233" s="362"/>
      <c r="F233" s="262"/>
    </row>
    <row r="234" spans="1:7" ht="18" customHeight="1" x14ac:dyDescent="0.2">
      <c r="A234" s="362"/>
      <c r="B234" s="363"/>
      <c r="C234" s="364"/>
      <c r="D234" s="362"/>
      <c r="E234" s="362"/>
      <c r="F234" s="262"/>
    </row>
    <row r="235" spans="1:7" ht="18" customHeight="1" x14ac:dyDescent="0.2">
      <c r="A235" s="591" t="s">
        <v>336</v>
      </c>
      <c r="B235" s="584"/>
      <c r="C235" s="584"/>
      <c r="D235" s="584"/>
      <c r="E235" s="585"/>
      <c r="F235" s="262"/>
    </row>
    <row r="236" spans="1:7" ht="41.25" customHeight="1" x14ac:dyDescent="0.2">
      <c r="A236" s="264" t="s">
        <v>8</v>
      </c>
      <c r="B236" s="264" t="s">
        <v>9</v>
      </c>
      <c r="C236" s="535" t="s">
        <v>10</v>
      </c>
      <c r="D236" s="310" t="s">
        <v>11</v>
      </c>
      <c r="E236" s="537" t="s">
        <v>12</v>
      </c>
      <c r="F236" s="262"/>
    </row>
    <row r="237" spans="1:7" ht="18" customHeight="1" x14ac:dyDescent="0.2">
      <c r="A237" s="341" t="s">
        <v>337</v>
      </c>
      <c r="B237" s="287" t="s">
        <v>338</v>
      </c>
      <c r="C237" s="365">
        <f>[11]BS17A!D768</f>
        <v>971</v>
      </c>
      <c r="D237" s="366"/>
      <c r="E237" s="367">
        <f>[11]BS17A!V768</f>
        <v>6887240</v>
      </c>
      <c r="F237" s="262"/>
    </row>
    <row r="238" spans="1:7" ht="18" customHeight="1" x14ac:dyDescent="0.2">
      <c r="A238" s="362"/>
      <c r="B238" s="363"/>
      <c r="C238" s="364"/>
      <c r="D238" s="362"/>
      <c r="E238" s="362"/>
      <c r="F238" s="262"/>
    </row>
    <row r="239" spans="1:7" ht="18" customHeight="1" x14ac:dyDescent="0.2">
      <c r="A239" s="591" t="s">
        <v>339</v>
      </c>
      <c r="B239" s="592"/>
      <c r="C239" s="592"/>
      <c r="D239" s="592"/>
      <c r="E239" s="593"/>
      <c r="F239" s="262"/>
    </row>
    <row r="240" spans="1:7" ht="43.5" customHeight="1" x14ac:dyDescent="0.2">
      <c r="A240" s="264" t="s">
        <v>8</v>
      </c>
      <c r="B240" s="535" t="s">
        <v>340</v>
      </c>
      <c r="C240" s="309" t="s">
        <v>341</v>
      </c>
      <c r="D240" s="310" t="s">
        <v>11</v>
      </c>
      <c r="E240" s="537" t="s">
        <v>12</v>
      </c>
      <c r="F240" s="262"/>
    </row>
    <row r="241" spans="1:6" ht="15" customHeight="1" x14ac:dyDescent="0.2">
      <c r="A241" s="274" t="s">
        <v>342</v>
      </c>
      <c r="B241" s="397" t="s">
        <v>343</v>
      </c>
      <c r="C241" s="383">
        <f>+[11]BS17A!$D1944</f>
        <v>0</v>
      </c>
      <c r="D241" s="275">
        <f>+[11]BS17A!$U1944</f>
        <v>247230</v>
      </c>
      <c r="E241" s="344">
        <f>+[11]BS17A!$V1944</f>
        <v>0</v>
      </c>
      <c r="F241" s="262"/>
    </row>
    <row r="242" spans="1:6" ht="15" customHeight="1" x14ac:dyDescent="0.2">
      <c r="A242" s="269" t="s">
        <v>344</v>
      </c>
      <c r="B242" s="398" t="s">
        <v>345</v>
      </c>
      <c r="C242" s="380">
        <f>+[11]BS17A!$D1945</f>
        <v>0</v>
      </c>
      <c r="D242" s="270">
        <f>+[11]BS17A!$U1945</f>
        <v>35130</v>
      </c>
      <c r="E242" s="345">
        <f>+[11]BS17A!$V1945</f>
        <v>0</v>
      </c>
      <c r="F242" s="262"/>
    </row>
    <row r="243" spans="1:6" ht="15" customHeight="1" x14ac:dyDescent="0.2">
      <c r="A243" s="269" t="s">
        <v>346</v>
      </c>
      <c r="B243" s="398" t="s">
        <v>347</v>
      </c>
      <c r="C243" s="380">
        <f>+[11]BS17A!$D1946</f>
        <v>0</v>
      </c>
      <c r="D243" s="270">
        <f>+[11]BS17A!$U1946</f>
        <v>132520</v>
      </c>
      <c r="E243" s="345">
        <f>+[11]BS17A!$V1946</f>
        <v>0</v>
      </c>
      <c r="F243" s="262"/>
    </row>
    <row r="244" spans="1:6" ht="15" customHeight="1" x14ac:dyDescent="0.2">
      <c r="A244" s="269" t="s">
        <v>348</v>
      </c>
      <c r="B244" s="398" t="s">
        <v>349</v>
      </c>
      <c r="C244" s="380">
        <f>+[11]BS17A!$D1947</f>
        <v>0</v>
      </c>
      <c r="D244" s="270">
        <f>+[11]BS17A!$U1947</f>
        <v>132520</v>
      </c>
      <c r="E244" s="345">
        <f>+[11]BS17A!$V1947</f>
        <v>0</v>
      </c>
      <c r="F244" s="262"/>
    </row>
    <row r="245" spans="1:6" ht="15" customHeight="1" x14ac:dyDescent="0.2">
      <c r="A245" s="269" t="s">
        <v>350</v>
      </c>
      <c r="B245" s="398" t="s">
        <v>351</v>
      </c>
      <c r="C245" s="380">
        <f>+[11]BS17A!$D1948</f>
        <v>0</v>
      </c>
      <c r="D245" s="270">
        <f>+[11]BS17A!$U1948</f>
        <v>241260</v>
      </c>
      <c r="E245" s="345">
        <f>+[11]BS17A!$V1948</f>
        <v>0</v>
      </c>
      <c r="F245" s="262"/>
    </row>
    <row r="246" spans="1:6" ht="15" customHeight="1" x14ac:dyDescent="0.2">
      <c r="A246" s="269" t="s">
        <v>352</v>
      </c>
      <c r="B246" s="398" t="s">
        <v>353</v>
      </c>
      <c r="C246" s="380">
        <f>+[11]BS17A!$D1949</f>
        <v>0</v>
      </c>
      <c r="D246" s="270">
        <f>+[11]BS17A!$U1949</f>
        <v>370240</v>
      </c>
      <c r="E246" s="345">
        <f>+[11]BS17A!$V1949</f>
        <v>0</v>
      </c>
      <c r="F246" s="262"/>
    </row>
    <row r="247" spans="1:6" ht="15" customHeight="1" x14ac:dyDescent="0.2">
      <c r="A247" s="269" t="s">
        <v>354</v>
      </c>
      <c r="B247" s="398" t="s">
        <v>355</v>
      </c>
      <c r="C247" s="380">
        <f>+[11]BS17A!$D1950</f>
        <v>0</v>
      </c>
      <c r="D247" s="270">
        <f>+[11]BS17A!$U1950</f>
        <v>631610</v>
      </c>
      <c r="E247" s="345">
        <f>+[11]BS17A!$V1950</f>
        <v>0</v>
      </c>
      <c r="F247" s="262"/>
    </row>
    <row r="248" spans="1:6" ht="15" customHeight="1" x14ac:dyDescent="0.2">
      <c r="A248" s="292" t="s">
        <v>356</v>
      </c>
      <c r="B248" s="398" t="s">
        <v>357</v>
      </c>
      <c r="C248" s="380">
        <f>+[11]BS17A!$D1951</f>
        <v>0</v>
      </c>
      <c r="D248" s="270">
        <f>+[11]BS17A!$U1951</f>
        <v>131550</v>
      </c>
      <c r="E248" s="345">
        <f>+[11]BS17A!$V1951</f>
        <v>0</v>
      </c>
      <c r="F248" s="262"/>
    </row>
    <row r="249" spans="1:6" ht="15" customHeight="1" x14ac:dyDescent="0.2">
      <c r="A249" s="292" t="s">
        <v>358</v>
      </c>
      <c r="B249" s="398" t="s">
        <v>359</v>
      </c>
      <c r="C249" s="380">
        <f>+[11]BS17A!$D1952</f>
        <v>0</v>
      </c>
      <c r="D249" s="270">
        <f>+[11]BS17A!$U1952</f>
        <v>354560</v>
      </c>
      <c r="E249" s="345">
        <f>+[11]BS17A!$V1952</f>
        <v>0</v>
      </c>
      <c r="F249" s="262"/>
    </row>
    <row r="250" spans="1:6" ht="15" customHeight="1" x14ac:dyDescent="0.2">
      <c r="A250" s="292" t="s">
        <v>360</v>
      </c>
      <c r="B250" s="398" t="s">
        <v>361</v>
      </c>
      <c r="C250" s="410">
        <f>+[11]BS17A!$D1953</f>
        <v>0</v>
      </c>
      <c r="D250" s="272">
        <f>+[11]BS17A!$U1953</f>
        <v>149290</v>
      </c>
      <c r="E250" s="368">
        <f>+[11]BS17A!$V1953</f>
        <v>0</v>
      </c>
      <c r="F250" s="262"/>
    </row>
    <row r="251" spans="1:6" ht="15" customHeight="1" x14ac:dyDescent="0.2">
      <c r="A251" s="292" t="s">
        <v>362</v>
      </c>
      <c r="B251" s="398" t="s">
        <v>363</v>
      </c>
      <c r="C251" s="410">
        <f>+[11]BS17A!$D1954</f>
        <v>0</v>
      </c>
      <c r="D251" s="272">
        <f>+[11]BS17A!$U1954</f>
        <v>129730</v>
      </c>
      <c r="E251" s="368">
        <f>+[11]BS17A!$V1954</f>
        <v>0</v>
      </c>
      <c r="F251" s="262"/>
    </row>
    <row r="252" spans="1:6" ht="15" customHeight="1" x14ac:dyDescent="0.2">
      <c r="A252" s="292" t="s">
        <v>364</v>
      </c>
      <c r="B252" s="398" t="s">
        <v>365</v>
      </c>
      <c r="C252" s="410">
        <f>+[11]BS17A!$D1955</f>
        <v>0</v>
      </c>
      <c r="D252" s="272">
        <f>+[11]BS17A!$U1955</f>
        <v>197230</v>
      </c>
      <c r="E252" s="368">
        <f>+[11]BS17A!$V1955</f>
        <v>0</v>
      </c>
      <c r="F252" s="262"/>
    </row>
    <row r="253" spans="1:6" ht="15" customHeight="1" x14ac:dyDescent="0.2">
      <c r="A253" s="292" t="s">
        <v>366</v>
      </c>
      <c r="B253" s="398" t="s">
        <v>367</v>
      </c>
      <c r="C253" s="410">
        <f>+[11]BS17A!$D1956</f>
        <v>0</v>
      </c>
      <c r="D253" s="272">
        <f>+[11]BS17A!$U1956</f>
        <v>51900</v>
      </c>
      <c r="E253" s="368">
        <f>+[11]BS17A!$V1956</f>
        <v>0</v>
      </c>
      <c r="F253" s="262"/>
    </row>
    <row r="254" spans="1:6" ht="15" customHeight="1" x14ac:dyDescent="0.2">
      <c r="A254" s="327" t="s">
        <v>368</v>
      </c>
      <c r="B254" s="409" t="s">
        <v>369</v>
      </c>
      <c r="C254" s="395">
        <f>+[11]BS17A!$D1957</f>
        <v>0</v>
      </c>
      <c r="D254" s="277">
        <f>+[11]BS17A!$U1957</f>
        <v>38790</v>
      </c>
      <c r="E254" s="350">
        <f>+[11]BS17A!$V1957</f>
        <v>0</v>
      </c>
      <c r="F254" s="262"/>
    </row>
    <row r="255" spans="1:6" ht="15" customHeight="1" x14ac:dyDescent="0.2">
      <c r="A255" s="586" t="s">
        <v>370</v>
      </c>
      <c r="B255" s="587"/>
      <c r="C255" s="587"/>
      <c r="D255" s="587"/>
      <c r="E255" s="588"/>
      <c r="F255" s="262"/>
    </row>
    <row r="256" spans="1:6" ht="15" customHeight="1" x14ac:dyDescent="0.2">
      <c r="A256" s="434" t="s">
        <v>371</v>
      </c>
      <c r="B256" s="448" t="s">
        <v>343</v>
      </c>
      <c r="C256" s="383">
        <f>+[11]BS17A!$D1958</f>
        <v>0</v>
      </c>
      <c r="D256" s="275">
        <f>+[11]BS17A!$U1958</f>
        <v>212700</v>
      </c>
      <c r="E256" s="344">
        <f>+[11]BS17A!$V1958</f>
        <v>0</v>
      </c>
      <c r="F256" s="262"/>
    </row>
    <row r="257" spans="1:6" ht="15" customHeight="1" x14ac:dyDescent="0.2">
      <c r="A257" s="435" t="s">
        <v>372</v>
      </c>
      <c r="B257" s="449" t="s">
        <v>373</v>
      </c>
      <c r="C257" s="380">
        <f>+[11]BS17A!$D1959</f>
        <v>0</v>
      </c>
      <c r="D257" s="270">
        <f>+[11]BS17A!$U1959</f>
        <v>1265290</v>
      </c>
      <c r="E257" s="345">
        <f>+[11]BS17A!$V1959</f>
        <v>0</v>
      </c>
      <c r="F257" s="262"/>
    </row>
    <row r="258" spans="1:6" ht="15" customHeight="1" x14ac:dyDescent="0.2">
      <c r="A258" s="435" t="s">
        <v>374</v>
      </c>
      <c r="B258" s="449" t="s">
        <v>375</v>
      </c>
      <c r="C258" s="380">
        <f>+[11]BS17A!$D1960</f>
        <v>0</v>
      </c>
      <c r="D258" s="270">
        <f>+[11]BS17A!$U1960</f>
        <v>190900</v>
      </c>
      <c r="E258" s="345">
        <f>+[11]BS17A!$V1960</f>
        <v>0</v>
      </c>
      <c r="F258" s="262"/>
    </row>
    <row r="259" spans="1:6" ht="15" customHeight="1" x14ac:dyDescent="0.2">
      <c r="A259" s="435" t="s">
        <v>376</v>
      </c>
      <c r="B259" s="449" t="s">
        <v>377</v>
      </c>
      <c r="C259" s="380">
        <f>+[11]BS17A!$D1961</f>
        <v>0</v>
      </c>
      <c r="D259" s="270">
        <f>+[11]BS17A!$U1961</f>
        <v>168820</v>
      </c>
      <c r="E259" s="345">
        <f>+[11]BS17A!$V1961</f>
        <v>0</v>
      </c>
      <c r="F259" s="262"/>
    </row>
    <row r="260" spans="1:6" ht="15" customHeight="1" x14ac:dyDescent="0.2">
      <c r="A260" s="435" t="s">
        <v>378</v>
      </c>
      <c r="B260" s="449" t="s">
        <v>379</v>
      </c>
      <c r="C260" s="380">
        <f>+[11]BS17A!$D1962</f>
        <v>0</v>
      </c>
      <c r="D260" s="270">
        <f>+[11]BS17A!$U1962</f>
        <v>342700</v>
      </c>
      <c r="E260" s="345">
        <f>+[11]BS17A!$V1962</f>
        <v>0</v>
      </c>
      <c r="F260" s="262"/>
    </row>
    <row r="261" spans="1:6" ht="15" customHeight="1" x14ac:dyDescent="0.2">
      <c r="A261" s="435" t="s">
        <v>380</v>
      </c>
      <c r="B261" s="449" t="s">
        <v>381</v>
      </c>
      <c r="C261" s="380">
        <f>+[11]BS17A!$D1963</f>
        <v>0</v>
      </c>
      <c r="D261" s="270">
        <f>+[11]BS17A!$U1963</f>
        <v>1139590</v>
      </c>
      <c r="E261" s="345">
        <f>+[11]BS17A!$V1963</f>
        <v>0</v>
      </c>
      <c r="F261" s="262"/>
    </row>
    <row r="262" spans="1:6" ht="15" customHeight="1" x14ac:dyDescent="0.2">
      <c r="A262" s="435" t="s">
        <v>382</v>
      </c>
      <c r="B262" s="449" t="s">
        <v>383</v>
      </c>
      <c r="C262" s="380">
        <f>+[11]BS17A!$D1964</f>
        <v>0</v>
      </c>
      <c r="D262" s="270">
        <f>+[11]BS17A!$U1964</f>
        <v>1171120</v>
      </c>
      <c r="E262" s="345">
        <f>+[11]BS17A!$V1964</f>
        <v>0</v>
      </c>
      <c r="F262" s="262"/>
    </row>
    <row r="263" spans="1:6" ht="15" customHeight="1" x14ac:dyDescent="0.2">
      <c r="A263" s="435" t="s">
        <v>384</v>
      </c>
      <c r="B263" s="449" t="s">
        <v>385</v>
      </c>
      <c r="C263" s="380">
        <f>+[11]BS17A!$D1965</f>
        <v>0</v>
      </c>
      <c r="D263" s="270">
        <f>+[11]BS17A!$U1965</f>
        <v>927270</v>
      </c>
      <c r="E263" s="345">
        <f>+[11]BS17A!$V1965</f>
        <v>0</v>
      </c>
      <c r="F263" s="262"/>
    </row>
    <row r="264" spans="1:6" ht="15" customHeight="1" x14ac:dyDescent="0.2">
      <c r="A264" s="435" t="s">
        <v>386</v>
      </c>
      <c r="B264" s="449" t="s">
        <v>387</v>
      </c>
      <c r="C264" s="380">
        <f>+[11]BS17A!$D1966</f>
        <v>0</v>
      </c>
      <c r="D264" s="270">
        <f>+[11]BS17A!$U1966</f>
        <v>977250</v>
      </c>
      <c r="E264" s="345">
        <f>+[11]BS17A!$V1966</f>
        <v>0</v>
      </c>
      <c r="F264" s="262"/>
    </row>
    <row r="265" spans="1:6" ht="15" customHeight="1" x14ac:dyDescent="0.2">
      <c r="A265" s="435" t="s">
        <v>388</v>
      </c>
      <c r="B265" s="449" t="s">
        <v>389</v>
      </c>
      <c r="C265" s="380">
        <f>+[11]BS17A!$D1967</f>
        <v>0</v>
      </c>
      <c r="D265" s="270">
        <f>+[11]BS17A!$U1967</f>
        <v>385520</v>
      </c>
      <c r="E265" s="345">
        <f>+[11]BS17A!$V1967</f>
        <v>0</v>
      </c>
      <c r="F265" s="262"/>
    </row>
    <row r="266" spans="1:6" ht="15" customHeight="1" x14ac:dyDescent="0.2">
      <c r="A266" s="435" t="s">
        <v>390</v>
      </c>
      <c r="B266" s="449" t="s">
        <v>391</v>
      </c>
      <c r="C266" s="380">
        <f>+[11]BS17A!$D1968</f>
        <v>0</v>
      </c>
      <c r="D266" s="270">
        <f>+[11]BS17A!$U1968</f>
        <v>92330</v>
      </c>
      <c r="E266" s="345">
        <f>+[11]BS17A!$V1968</f>
        <v>0</v>
      </c>
      <c r="F266" s="262"/>
    </row>
    <row r="267" spans="1:6" ht="15" customHeight="1" x14ac:dyDescent="0.2">
      <c r="A267" s="435" t="s">
        <v>392</v>
      </c>
      <c r="B267" s="449" t="s">
        <v>393</v>
      </c>
      <c r="C267" s="380">
        <f>+[11]BS17A!$D1969</f>
        <v>0</v>
      </c>
      <c r="D267" s="270">
        <f>+[11]BS17A!$U1969</f>
        <v>275450</v>
      </c>
      <c r="E267" s="345">
        <f>+[11]BS17A!$V1969</f>
        <v>0</v>
      </c>
      <c r="F267" s="262"/>
    </row>
    <row r="268" spans="1:6" ht="15" customHeight="1" x14ac:dyDescent="0.2">
      <c r="A268" s="435" t="s">
        <v>394</v>
      </c>
      <c r="B268" s="431" t="s">
        <v>395</v>
      </c>
      <c r="C268" s="380">
        <f>+[11]BS17A!$D1970</f>
        <v>0</v>
      </c>
      <c r="D268" s="270">
        <f>+[11]BS17A!$U1970</f>
        <v>77880</v>
      </c>
      <c r="E268" s="345">
        <f>+[11]BS17A!$V1970</f>
        <v>0</v>
      </c>
      <c r="F268" s="262"/>
    </row>
    <row r="269" spans="1:6" ht="15" customHeight="1" x14ac:dyDescent="0.2">
      <c r="A269" s="435" t="s">
        <v>396</v>
      </c>
      <c r="B269" s="431" t="s">
        <v>397</v>
      </c>
      <c r="C269" s="380">
        <f>+[11]BS17A!$D1971</f>
        <v>0</v>
      </c>
      <c r="D269" s="270">
        <f>+[11]BS17A!$U1971</f>
        <v>1338250</v>
      </c>
      <c r="E269" s="345">
        <f>+[11]BS17A!$V1971</f>
        <v>0</v>
      </c>
      <c r="F269" s="262"/>
    </row>
    <row r="270" spans="1:6" ht="15" customHeight="1" x14ac:dyDescent="0.2">
      <c r="A270" s="435" t="s">
        <v>398</v>
      </c>
      <c r="B270" s="431" t="s">
        <v>399</v>
      </c>
      <c r="C270" s="380">
        <f>+[11]BS17A!$D1972</f>
        <v>0</v>
      </c>
      <c r="D270" s="270">
        <f>+[11]BS17A!$U1972</f>
        <v>312910</v>
      </c>
      <c r="E270" s="345">
        <f>+[11]BS17A!$V1972</f>
        <v>0</v>
      </c>
      <c r="F270" s="262"/>
    </row>
    <row r="271" spans="1:6" ht="15" customHeight="1" x14ac:dyDescent="0.2">
      <c r="A271" s="435" t="s">
        <v>400</v>
      </c>
      <c r="B271" s="431" t="s">
        <v>401</v>
      </c>
      <c r="C271" s="380">
        <f>+[11]BS17A!$D1973</f>
        <v>0</v>
      </c>
      <c r="D271" s="270">
        <f>+[11]BS17A!$U1973</f>
        <v>1048270</v>
      </c>
      <c r="E271" s="345">
        <f>+[11]BS17A!$V1973</f>
        <v>0</v>
      </c>
      <c r="F271" s="262"/>
    </row>
    <row r="272" spans="1:6" ht="15" customHeight="1" x14ac:dyDescent="0.2">
      <c r="A272" s="435" t="s">
        <v>402</v>
      </c>
      <c r="B272" s="450" t="s">
        <v>403</v>
      </c>
      <c r="C272" s="380">
        <f>+[11]BS17A!$D1974</f>
        <v>0</v>
      </c>
      <c r="D272" s="270">
        <f>+[11]BS17A!$U1974</f>
        <v>641750</v>
      </c>
      <c r="E272" s="345">
        <f>+[11]BS17A!$V1974</f>
        <v>0</v>
      </c>
      <c r="F272" s="262"/>
    </row>
    <row r="273" spans="1:10" ht="15" customHeight="1" x14ac:dyDescent="0.2">
      <c r="A273" s="436" t="s">
        <v>404</v>
      </c>
      <c r="B273" s="450" t="s">
        <v>405</v>
      </c>
      <c r="C273" s="395">
        <f>+[11]BS17A!$D1975</f>
        <v>0</v>
      </c>
      <c r="D273" s="272">
        <f>+[11]BS17A!$U1975</f>
        <v>523710</v>
      </c>
      <c r="E273" s="368">
        <f>+[11]BS17A!$V1975</f>
        <v>0</v>
      </c>
      <c r="F273" s="262"/>
    </row>
    <row r="274" spans="1:10" ht="15" customHeight="1" x14ac:dyDescent="0.2">
      <c r="A274" s="586" t="s">
        <v>406</v>
      </c>
      <c r="B274" s="587"/>
      <c r="C274" s="587"/>
      <c r="D274" s="587"/>
      <c r="E274" s="588"/>
      <c r="F274" s="262"/>
    </row>
    <row r="275" spans="1:10" ht="15" customHeight="1" x14ac:dyDescent="0.2">
      <c r="A275" s="434" t="s">
        <v>407</v>
      </c>
      <c r="B275" s="443" t="s">
        <v>408</v>
      </c>
      <c r="C275" s="412">
        <f>+[11]BS17A!$D1976</f>
        <v>0</v>
      </c>
      <c r="D275" s="267">
        <f>[11]BS17A!U1976</f>
        <v>282310</v>
      </c>
      <c r="E275" s="369">
        <f>+[11]BS17A!$V1976</f>
        <v>0</v>
      </c>
      <c r="F275" s="262"/>
    </row>
    <row r="276" spans="1:10" ht="15" customHeight="1" x14ac:dyDescent="0.2">
      <c r="A276" s="435" t="s">
        <v>409</v>
      </c>
      <c r="B276" s="431" t="s">
        <v>410</v>
      </c>
      <c r="C276" s="380">
        <f>+[11]BS17A!$D1977</f>
        <v>0</v>
      </c>
      <c r="D276" s="270">
        <f>[11]BS17A!U1977</f>
        <v>164590</v>
      </c>
      <c r="E276" s="345">
        <f>+[11]BS17A!$V1977</f>
        <v>0</v>
      </c>
      <c r="F276" s="262"/>
    </row>
    <row r="277" spans="1:10" ht="15" customHeight="1" x14ac:dyDescent="0.2">
      <c r="A277" s="435" t="s">
        <v>411</v>
      </c>
      <c r="B277" s="431" t="s">
        <v>412</v>
      </c>
      <c r="C277" s="380">
        <f>+[11]BS17A!$D1978</f>
        <v>0</v>
      </c>
      <c r="D277" s="270">
        <f>[11]BS17A!U1978</f>
        <v>397700</v>
      </c>
      <c r="E277" s="345">
        <f>+[11]BS17A!$V1978</f>
        <v>0</v>
      </c>
      <c r="F277" s="262"/>
    </row>
    <row r="278" spans="1:10" ht="15" customHeight="1" x14ac:dyDescent="0.2">
      <c r="A278" s="435" t="s">
        <v>413</v>
      </c>
      <c r="B278" s="431" t="s">
        <v>414</v>
      </c>
      <c r="C278" s="380">
        <f>+[11]BS17A!$D1979</f>
        <v>0</v>
      </c>
      <c r="D278" s="270">
        <f>[11]BS17A!U1979</f>
        <v>412140</v>
      </c>
      <c r="E278" s="345">
        <f>+[11]BS17A!$V1979</f>
        <v>0</v>
      </c>
      <c r="F278" s="262"/>
    </row>
    <row r="279" spans="1:10" ht="15" customHeight="1" x14ac:dyDescent="0.2">
      <c r="A279" s="436" t="s">
        <v>415</v>
      </c>
      <c r="B279" s="444" t="s">
        <v>416</v>
      </c>
      <c r="C279" s="395">
        <f>+[11]BS17A!$D1980</f>
        <v>0</v>
      </c>
      <c r="D279" s="277">
        <f>[11]BS17A!U1980</f>
        <v>257530</v>
      </c>
      <c r="E279" s="350">
        <f>+[11]BS17A!$V1980</f>
        <v>0</v>
      </c>
      <c r="F279" s="370"/>
    </row>
    <row r="280" spans="1:10" ht="15" customHeight="1" x14ac:dyDescent="0.2">
      <c r="A280" s="447" t="s">
        <v>417</v>
      </c>
      <c r="B280" s="445" t="s">
        <v>418</v>
      </c>
      <c r="C280" s="413">
        <f>+[11]BS17A!$D1981</f>
        <v>92</v>
      </c>
      <c r="D280" s="371">
        <f>[11]BS17A!U1981</f>
        <v>35020</v>
      </c>
      <c r="E280" s="367">
        <f>+[11]BS17A!$V1981</f>
        <v>3221840</v>
      </c>
      <c r="F280" s="370"/>
    </row>
    <row r="281" spans="1:10" ht="15" customHeight="1" x14ac:dyDescent="0.2">
      <c r="A281" s="442"/>
      <c r="B281" s="446" t="s">
        <v>419</v>
      </c>
      <c r="C281" s="279">
        <f>SUM(C241:C280)</f>
        <v>92</v>
      </c>
      <c r="D281" s="348"/>
      <c r="E281" s="349">
        <f>SUM(E241:E280)</f>
        <v>3221840</v>
      </c>
      <c r="F281" s="370"/>
    </row>
    <row r="282" spans="1:10" ht="18" customHeight="1" x14ac:dyDescent="0.2">
      <c r="A282" s="362"/>
      <c r="B282" s="262"/>
      <c r="C282" s="262"/>
      <c r="D282" s="362"/>
      <c r="E282" s="362"/>
      <c r="F282" s="262"/>
    </row>
    <row r="283" spans="1:10" ht="18" customHeight="1" x14ac:dyDescent="0.2">
      <c r="A283" s="362"/>
      <c r="B283" s="364"/>
      <c r="C283" s="364"/>
      <c r="D283" s="362"/>
      <c r="E283" s="362"/>
      <c r="F283" s="372"/>
      <c r="G283" s="373"/>
      <c r="J283" s="374"/>
    </row>
    <row r="284" spans="1:10" ht="12.75" customHeight="1" x14ac:dyDescent="0.2">
      <c r="A284" s="591" t="s">
        <v>420</v>
      </c>
      <c r="B284" s="592"/>
      <c r="C284" s="592"/>
      <c r="D284" s="592"/>
      <c r="E284" s="593"/>
      <c r="F284" s="262"/>
    </row>
    <row r="285" spans="1:10" ht="44.25" customHeight="1" x14ac:dyDescent="0.2">
      <c r="A285" s="264" t="s">
        <v>8</v>
      </c>
      <c r="B285" s="264" t="s">
        <v>420</v>
      </c>
      <c r="C285" s="535" t="s">
        <v>341</v>
      </c>
      <c r="D285" s="310" t="s">
        <v>11</v>
      </c>
      <c r="E285" s="537" t="s">
        <v>12</v>
      </c>
      <c r="F285" s="370"/>
    </row>
    <row r="286" spans="1:10" ht="15" customHeight="1" x14ac:dyDescent="0.2">
      <c r="A286" s="434" t="s">
        <v>421</v>
      </c>
      <c r="B286" s="438" t="s">
        <v>422</v>
      </c>
      <c r="C286" s="383">
        <f>+[11]BS17A!$D1983</f>
        <v>5</v>
      </c>
      <c r="D286" s="275">
        <f>+[11]BS17A!$U1983</f>
        <v>6890</v>
      </c>
      <c r="E286" s="344">
        <f>+[11]BS17A!$V1983</f>
        <v>34450</v>
      </c>
      <c r="F286" s="262"/>
    </row>
    <row r="287" spans="1:10" ht="15" customHeight="1" x14ac:dyDescent="0.2">
      <c r="A287" s="435" t="s">
        <v>423</v>
      </c>
      <c r="B287" s="439" t="s">
        <v>424</v>
      </c>
      <c r="C287" s="380">
        <f>+[11]BS17A!$D1984</f>
        <v>0</v>
      </c>
      <c r="D287" s="270">
        <f>+[11]BS17A!$U1984</f>
        <v>3670</v>
      </c>
      <c r="E287" s="345">
        <f>+[11]BS17A!$V1984</f>
        <v>0</v>
      </c>
      <c r="F287" s="262"/>
    </row>
    <row r="288" spans="1:10" ht="15" customHeight="1" x14ac:dyDescent="0.2">
      <c r="A288" s="435" t="s">
        <v>425</v>
      </c>
      <c r="B288" s="439" t="s">
        <v>426</v>
      </c>
      <c r="C288" s="380">
        <f>+[11]BS17A!$D1985</f>
        <v>0</v>
      </c>
      <c r="D288" s="270">
        <f>+[11]BS17A!$U1985</f>
        <v>13830</v>
      </c>
      <c r="E288" s="345">
        <f>+[11]BS17A!$V1985</f>
        <v>0</v>
      </c>
      <c r="F288" s="262"/>
    </row>
    <row r="289" spans="1:7" ht="15" customHeight="1" x14ac:dyDescent="0.2">
      <c r="A289" s="435" t="s">
        <v>427</v>
      </c>
      <c r="B289" s="439" t="s">
        <v>428</v>
      </c>
      <c r="C289" s="380">
        <f>+[11]BS17A!$D1986</f>
        <v>0</v>
      </c>
      <c r="D289" s="270">
        <f>+[11]BS17A!$U1986</f>
        <v>141790</v>
      </c>
      <c r="E289" s="345">
        <f>+[11]BS17A!$V1986</f>
        <v>0</v>
      </c>
      <c r="F289" s="262"/>
    </row>
    <row r="290" spans="1:7" ht="15" customHeight="1" x14ac:dyDescent="0.2">
      <c r="A290" s="436" t="s">
        <v>429</v>
      </c>
      <c r="B290" s="440" t="s">
        <v>430</v>
      </c>
      <c r="C290" s="395">
        <f>+[11]BS17A!$D1987</f>
        <v>1</v>
      </c>
      <c r="D290" s="277">
        <f>+[11]BS17A!$U1987</f>
        <v>778770</v>
      </c>
      <c r="E290" s="350">
        <f>+[11]BS17A!$V1987</f>
        <v>778770</v>
      </c>
      <c r="F290" s="262"/>
    </row>
    <row r="291" spans="1:7" ht="15" customHeight="1" x14ac:dyDescent="0.2">
      <c r="A291" s="442"/>
      <c r="B291" s="441" t="s">
        <v>431</v>
      </c>
      <c r="C291" s="316">
        <f>SUM(C286:C290)</f>
        <v>6</v>
      </c>
      <c r="D291" s="288"/>
      <c r="E291" s="317">
        <f>SUM(E286:E290)</f>
        <v>813220</v>
      </c>
      <c r="F291" s="262"/>
    </row>
    <row r="292" spans="1:7" ht="18" customHeight="1" x14ac:dyDescent="0.2">
      <c r="A292" s="362"/>
      <c r="B292" s="364"/>
      <c r="C292" s="362"/>
      <c r="D292" s="362"/>
      <c r="E292" s="362"/>
      <c r="F292" s="262"/>
    </row>
    <row r="293" spans="1:7" ht="18" customHeight="1" x14ac:dyDescent="0.2">
      <c r="A293" s="362"/>
      <c r="B293" s="364"/>
      <c r="C293" s="362"/>
      <c r="D293" s="362"/>
      <c r="E293" s="362"/>
      <c r="F293" s="375"/>
      <c r="G293" s="263"/>
    </row>
    <row r="294" spans="1:7" ht="12.75" x14ac:dyDescent="0.2">
      <c r="A294" s="586" t="s">
        <v>432</v>
      </c>
      <c r="B294" s="587"/>
      <c r="C294" s="587"/>
      <c r="D294" s="587"/>
      <c r="E294" s="588"/>
      <c r="F294" s="376"/>
      <c r="G294" s="263"/>
    </row>
    <row r="295" spans="1:7" ht="42.75" customHeight="1" x14ac:dyDescent="0.2">
      <c r="A295" s="264" t="s">
        <v>8</v>
      </c>
      <c r="B295" s="407" t="s">
        <v>432</v>
      </c>
      <c r="C295" s="408" t="s">
        <v>433</v>
      </c>
      <c r="D295" s="310" t="s">
        <v>11</v>
      </c>
      <c r="E295" s="537" t="s">
        <v>12</v>
      </c>
      <c r="F295" s="376"/>
      <c r="G295" s="263"/>
    </row>
    <row r="296" spans="1:7" ht="15" customHeight="1" x14ac:dyDescent="0.2">
      <c r="A296" s="434" t="s">
        <v>434</v>
      </c>
      <c r="B296" s="429" t="s">
        <v>435</v>
      </c>
      <c r="C296" s="383">
        <f>+[11]BS17A!$D1863</f>
        <v>178</v>
      </c>
      <c r="D296" s="275">
        <f>+[11]BS17A!$U1863</f>
        <v>18430</v>
      </c>
      <c r="E296" s="344">
        <f>+[11]BS17A!$V1863</f>
        <v>3280540</v>
      </c>
      <c r="F296" s="262"/>
    </row>
    <row r="297" spans="1:7" ht="15" customHeight="1" x14ac:dyDescent="0.2">
      <c r="A297" s="435" t="s">
        <v>436</v>
      </c>
      <c r="B297" s="430" t="s">
        <v>437</v>
      </c>
      <c r="C297" s="380">
        <f>+[11]BS17A!$D1864</f>
        <v>174</v>
      </c>
      <c r="D297" s="270">
        <f>+[11]BS17A!$U1864</f>
        <v>57970</v>
      </c>
      <c r="E297" s="345">
        <f>+[11]BS17A!$V1864</f>
        <v>10086780</v>
      </c>
      <c r="F297" s="262"/>
    </row>
    <row r="298" spans="1:7" ht="15" customHeight="1" x14ac:dyDescent="0.2">
      <c r="A298" s="435" t="s">
        <v>438</v>
      </c>
      <c r="B298" s="430" t="s">
        <v>439</v>
      </c>
      <c r="C298" s="380">
        <f>+[11]BS17A!$D1865</f>
        <v>0</v>
      </c>
      <c r="D298" s="270">
        <f>+[11]BS17A!$U1865</f>
        <v>71860</v>
      </c>
      <c r="E298" s="345">
        <f>+[11]BS17A!$V1865</f>
        <v>0</v>
      </c>
      <c r="F298" s="262"/>
    </row>
    <row r="299" spans="1:7" ht="15" customHeight="1" x14ac:dyDescent="0.2">
      <c r="A299" s="435" t="s">
        <v>440</v>
      </c>
      <c r="B299" s="430" t="s">
        <v>441</v>
      </c>
      <c r="C299" s="380">
        <f>+[11]BS17A!$D1866</f>
        <v>145</v>
      </c>
      <c r="D299" s="270">
        <f>+[11]BS17A!$U1866</f>
        <v>2520</v>
      </c>
      <c r="E299" s="345">
        <f>+[11]BS17A!$V1866</f>
        <v>365400</v>
      </c>
      <c r="F299" s="262"/>
    </row>
    <row r="300" spans="1:7" ht="15" customHeight="1" x14ac:dyDescent="0.2">
      <c r="A300" s="435" t="s">
        <v>442</v>
      </c>
      <c r="B300" s="430" t="s">
        <v>443</v>
      </c>
      <c r="C300" s="380">
        <f>+[11]BS17A!$D1867</f>
        <v>0</v>
      </c>
      <c r="D300" s="270">
        <f>+[11]BS17A!$U1867</f>
        <v>70</v>
      </c>
      <c r="E300" s="345">
        <f>+[11]BS17A!$V1867</f>
        <v>0</v>
      </c>
      <c r="F300" s="262"/>
    </row>
    <row r="301" spans="1:7" ht="15" customHeight="1" x14ac:dyDescent="0.2">
      <c r="A301" s="435" t="s">
        <v>444</v>
      </c>
      <c r="B301" s="431" t="s">
        <v>445</v>
      </c>
      <c r="C301" s="380">
        <f>+[11]BS17A!$D1868</f>
        <v>0</v>
      </c>
      <c r="D301" s="270">
        <f>+[11]BS17A!$U1868</f>
        <v>152560</v>
      </c>
      <c r="E301" s="345">
        <f>+[11]BS17A!$V1868</f>
        <v>0</v>
      </c>
      <c r="F301" s="262"/>
    </row>
    <row r="302" spans="1:7" ht="15" customHeight="1" x14ac:dyDescent="0.2">
      <c r="A302" s="436" t="s">
        <v>446</v>
      </c>
      <c r="B302" s="432" t="s">
        <v>447</v>
      </c>
      <c r="C302" s="395">
        <f>+[11]BS17A!$D1869</f>
        <v>0</v>
      </c>
      <c r="D302" s="277">
        <f>+[11]BS17A!$U1869</f>
        <v>10370</v>
      </c>
      <c r="E302" s="350">
        <f>+[11]BS17A!$V1869</f>
        <v>0</v>
      </c>
      <c r="F302" s="262"/>
    </row>
    <row r="303" spans="1:7" ht="15" customHeight="1" x14ac:dyDescent="0.2">
      <c r="A303" s="437"/>
      <c r="B303" s="603" t="s">
        <v>448</v>
      </c>
      <c r="C303" s="604"/>
      <c r="D303" s="366"/>
      <c r="E303" s="377">
        <f>SUM(E296:E302)</f>
        <v>13732720</v>
      </c>
      <c r="F303" s="262"/>
    </row>
    <row r="304" spans="1:7" ht="12.75" x14ac:dyDescent="0.2">
      <c r="A304" s="262"/>
      <c r="B304" s="262"/>
      <c r="C304" s="262"/>
      <c r="D304" s="262"/>
      <c r="E304" s="262"/>
      <c r="F304" s="359"/>
      <c r="G304" s="361"/>
    </row>
    <row r="305" spans="1:7" ht="12.75" x14ac:dyDescent="0.2">
      <c r="A305" s="262"/>
      <c r="B305" s="262"/>
      <c r="C305" s="262"/>
      <c r="D305" s="262"/>
      <c r="E305" s="262"/>
      <c r="F305" s="359"/>
      <c r="G305" s="361"/>
    </row>
    <row r="306" spans="1:7" ht="12.75" x14ac:dyDescent="0.2">
      <c r="A306" s="597" t="s">
        <v>449</v>
      </c>
      <c r="B306" s="598"/>
      <c r="C306" s="598"/>
      <c r="D306" s="598"/>
      <c r="E306" s="599"/>
      <c r="F306" s="359"/>
      <c r="G306" s="361"/>
    </row>
    <row r="307" spans="1:7" ht="12.75" x14ac:dyDescent="0.2">
      <c r="A307" s="307"/>
      <c r="B307" s="600" t="s">
        <v>450</v>
      </c>
      <c r="C307" s="601"/>
      <c r="D307" s="602"/>
      <c r="E307" s="378">
        <f>+E232+E237+E281+E291+E303</f>
        <v>34483810</v>
      </c>
      <c r="F307" s="262"/>
    </row>
    <row r="308" spans="1:7" ht="12.75" x14ac:dyDescent="0.2">
      <c r="A308" s="262"/>
      <c r="B308" s="262"/>
      <c r="C308" s="262"/>
      <c r="D308" s="262"/>
      <c r="E308" s="262"/>
      <c r="F308" s="359"/>
      <c r="G308" s="361"/>
    </row>
    <row r="309" spans="1:7" ht="12.75" x14ac:dyDescent="0.2">
      <c r="A309" s="262"/>
      <c r="B309" s="262"/>
      <c r="C309" s="262"/>
      <c r="D309" s="262"/>
      <c r="E309" s="262"/>
      <c r="F309" s="359"/>
      <c r="G309" s="361"/>
    </row>
    <row r="310" spans="1:7" ht="12.75" x14ac:dyDescent="0.2">
      <c r="A310" s="597" t="s">
        <v>451</v>
      </c>
      <c r="B310" s="598"/>
      <c r="C310" s="598"/>
      <c r="D310" s="598"/>
      <c r="E310" s="599"/>
      <c r="F310" s="359"/>
      <c r="G310" s="361"/>
    </row>
    <row r="311" spans="1:7" ht="25.5" x14ac:dyDescent="0.2">
      <c r="A311" s="586" t="s">
        <v>452</v>
      </c>
      <c r="B311" s="587"/>
      <c r="C311" s="587"/>
      <c r="D311" s="588"/>
      <c r="E311" s="264" t="s">
        <v>12</v>
      </c>
      <c r="F311" s="359"/>
      <c r="G311" s="361"/>
    </row>
    <row r="312" spans="1:7" ht="15" customHeight="1" x14ac:dyDescent="0.2">
      <c r="A312" s="307"/>
      <c r="B312" s="600" t="s">
        <v>453</v>
      </c>
      <c r="C312" s="601"/>
      <c r="D312" s="602"/>
      <c r="E312" s="378">
        <f>+E50+E76+E84+F109+E116+C121+E148+E155+E168+E204+E218+C225+E307</f>
        <v>792029750</v>
      </c>
      <c r="F312" s="359"/>
      <c r="G312" s="361"/>
    </row>
    <row r="313" spans="1:7" ht="18" customHeight="1" x14ac:dyDescent="0.2">
      <c r="A313" s="262"/>
      <c r="B313" s="262"/>
      <c r="C313" s="262"/>
      <c r="D313" s="262"/>
      <c r="E313" s="262"/>
      <c r="F313" s="259"/>
    </row>
    <row r="314" spans="1:7" ht="18" customHeight="1" x14ac:dyDescent="0.2">
      <c r="A314" s="262"/>
      <c r="B314" s="262"/>
      <c r="C314" s="262"/>
      <c r="D314" s="262"/>
      <c r="E314" s="262"/>
      <c r="F314" s="259"/>
    </row>
    <row r="315" spans="1:7" ht="18" customHeight="1" x14ac:dyDescent="0.2">
      <c r="A315" s="597" t="s">
        <v>454</v>
      </c>
      <c r="B315" s="598"/>
      <c r="C315" s="599"/>
      <c r="D315" s="262"/>
      <c r="E315" s="262"/>
      <c r="F315" s="259"/>
    </row>
    <row r="316" spans="1:7" ht="18" customHeight="1" x14ac:dyDescent="0.2">
      <c r="A316" s="586" t="s">
        <v>455</v>
      </c>
      <c r="B316" s="587"/>
      <c r="C316" s="588"/>
      <c r="D316" s="262"/>
      <c r="E316" s="262"/>
      <c r="F316" s="259"/>
    </row>
    <row r="317" spans="1:7" ht="30.75" customHeight="1" x14ac:dyDescent="0.2">
      <c r="A317" s="597" t="s">
        <v>456</v>
      </c>
      <c r="B317" s="598"/>
      <c r="C317" s="264" t="s">
        <v>457</v>
      </c>
      <c r="D317" s="262"/>
      <c r="E317" s="262"/>
      <c r="F317" s="262"/>
    </row>
    <row r="318" spans="1:7" ht="15" customHeight="1" x14ac:dyDescent="0.2">
      <c r="A318" s="379" t="s">
        <v>458</v>
      </c>
      <c r="B318" s="397"/>
      <c r="C318" s="403"/>
      <c r="D318" s="262"/>
      <c r="E318" s="262"/>
      <c r="F318" s="262"/>
    </row>
    <row r="319" spans="1:7" ht="15" customHeight="1" x14ac:dyDescent="0.2">
      <c r="A319" s="380" t="s">
        <v>459</v>
      </c>
      <c r="B319" s="398"/>
      <c r="C319" s="404"/>
      <c r="D319" s="262"/>
      <c r="E319" s="262"/>
      <c r="F319" s="262"/>
    </row>
    <row r="320" spans="1:7" ht="15" customHeight="1" x14ac:dyDescent="0.2">
      <c r="A320" s="380" t="s">
        <v>460</v>
      </c>
      <c r="B320" s="398"/>
      <c r="C320" s="404"/>
      <c r="D320" s="262"/>
      <c r="E320" s="262"/>
      <c r="F320" s="262"/>
    </row>
    <row r="321" spans="1:6" ht="15" customHeight="1" x14ac:dyDescent="0.2">
      <c r="A321" s="381" t="s">
        <v>461</v>
      </c>
      <c r="B321" s="398"/>
      <c r="C321" s="404"/>
      <c r="D321" s="262"/>
      <c r="E321" s="262"/>
      <c r="F321" s="262"/>
    </row>
    <row r="322" spans="1:6" ht="15" customHeight="1" x14ac:dyDescent="0.2">
      <c r="A322" s="382" t="s">
        <v>462</v>
      </c>
      <c r="B322" s="399"/>
      <c r="C322" s="405">
        <f>SUM(C318:C321)</f>
        <v>0</v>
      </c>
      <c r="D322" s="262"/>
      <c r="E322" s="262"/>
      <c r="F322" s="262"/>
    </row>
    <row r="323" spans="1:6" ht="15" customHeight="1" x14ac:dyDescent="0.2">
      <c r="A323" s="383" t="s">
        <v>463</v>
      </c>
      <c r="B323" s="400"/>
      <c r="C323" s="403">
        <v>10445748</v>
      </c>
      <c r="D323" s="262"/>
      <c r="E323" s="262"/>
      <c r="F323" s="262"/>
    </row>
    <row r="324" spans="1:6" ht="15" customHeight="1" x14ac:dyDescent="0.2">
      <c r="A324" s="384" t="s">
        <v>464</v>
      </c>
      <c r="B324" s="401"/>
      <c r="C324" s="404"/>
      <c r="D324" s="262"/>
      <c r="E324" s="262"/>
      <c r="F324" s="262"/>
    </row>
    <row r="325" spans="1:6" ht="15" customHeight="1" x14ac:dyDescent="0.2">
      <c r="A325" s="380" t="s">
        <v>465</v>
      </c>
      <c r="B325" s="401"/>
      <c r="C325" s="404"/>
      <c r="D325" s="262"/>
      <c r="E325" s="262"/>
      <c r="F325" s="262"/>
    </row>
    <row r="326" spans="1:6" ht="15" customHeight="1" x14ac:dyDescent="0.2">
      <c r="A326" s="380" t="s">
        <v>466</v>
      </c>
      <c r="B326" s="401"/>
      <c r="C326" s="404"/>
      <c r="D326" s="262"/>
      <c r="E326" s="262"/>
      <c r="F326" s="262"/>
    </row>
    <row r="327" spans="1:6" ht="15" customHeight="1" x14ac:dyDescent="0.2">
      <c r="A327" s="384" t="s">
        <v>467</v>
      </c>
      <c r="B327" s="401"/>
      <c r="C327" s="404"/>
      <c r="D327" s="262"/>
      <c r="E327" s="262"/>
      <c r="F327" s="262"/>
    </row>
    <row r="328" spans="1:6" ht="15" customHeight="1" x14ac:dyDescent="0.2">
      <c r="A328" s="384" t="s">
        <v>468</v>
      </c>
      <c r="B328" s="401"/>
      <c r="C328" s="404"/>
      <c r="D328" s="262"/>
      <c r="E328" s="262"/>
      <c r="F328" s="262"/>
    </row>
    <row r="329" spans="1:6" ht="15" customHeight="1" x14ac:dyDescent="0.2">
      <c r="A329" s="385" t="s">
        <v>469</v>
      </c>
      <c r="B329" s="402"/>
      <c r="C329" s="406">
        <v>78120910</v>
      </c>
      <c r="D329" s="262"/>
      <c r="E329" s="262"/>
      <c r="F329" s="262"/>
    </row>
    <row r="330" spans="1:6" ht="15" customHeight="1" x14ac:dyDescent="0.2">
      <c r="A330" s="279"/>
      <c r="B330" s="396" t="s">
        <v>470</v>
      </c>
      <c r="C330" s="354">
        <f>SUM(C322:C329)</f>
        <v>88566658</v>
      </c>
      <c r="D330" s="262"/>
      <c r="E330" s="262"/>
      <c r="F330" s="262"/>
    </row>
    <row r="331" spans="1:6" ht="12.75" x14ac:dyDescent="0.2">
      <c r="A331" s="262"/>
      <c r="B331" s="262"/>
      <c r="C331" s="262"/>
      <c r="D331" s="262"/>
      <c r="E331" s="262"/>
      <c r="F331" s="259"/>
    </row>
    <row r="332" spans="1:6" ht="12.75" x14ac:dyDescent="0.2">
      <c r="A332" s="262"/>
      <c r="B332" s="262"/>
      <c r="C332" s="262"/>
      <c r="D332" s="262"/>
      <c r="E332" s="262"/>
      <c r="F332" s="259"/>
    </row>
    <row r="333" spans="1:6" ht="12.75" x14ac:dyDescent="0.2">
      <c r="A333" s="262"/>
      <c r="B333" s="262"/>
      <c r="C333" s="262"/>
      <c r="D333" s="262"/>
      <c r="E333" s="262"/>
      <c r="F333" s="259"/>
    </row>
    <row r="334" spans="1:6" ht="12.75" x14ac:dyDescent="0.2">
      <c r="A334" s="362"/>
      <c r="B334" s="362"/>
      <c r="C334" s="362"/>
      <c r="D334" s="362"/>
      <c r="E334" s="362"/>
      <c r="F334" s="375"/>
    </row>
    <row r="335" spans="1:6" ht="12.75" x14ac:dyDescent="0.2">
      <c r="A335" s="362"/>
      <c r="B335" s="362"/>
      <c r="C335" s="362"/>
      <c r="D335" s="362"/>
      <c r="E335" s="610" t="str">
        <f>[11]NOMBRE!B12</f>
        <v xml:space="preserve">SRA. MARIA INES NUÑEZ GONZALEZ </v>
      </c>
      <c r="F335" s="610"/>
    </row>
    <row r="336" spans="1:6" ht="12.75" x14ac:dyDescent="0.2">
      <c r="A336" s="362"/>
      <c r="B336" s="362"/>
      <c r="C336" s="362"/>
      <c r="D336" s="364"/>
      <c r="E336" s="609" t="str">
        <f>[11]NOMBRE!A12</f>
        <v>Jefe de Estadisticas</v>
      </c>
      <c r="F336" s="609"/>
    </row>
    <row r="337" spans="1:6" ht="12.75" x14ac:dyDescent="0.2">
      <c r="A337" s="362"/>
      <c r="B337" s="362"/>
      <c r="C337" s="362"/>
      <c r="D337" s="362"/>
      <c r="E337" s="534"/>
      <c r="F337" s="387"/>
    </row>
    <row r="338" spans="1:6" ht="12.75" x14ac:dyDescent="0.2">
      <c r="A338" s="362"/>
      <c r="B338" s="362"/>
      <c r="C338" s="362"/>
      <c r="D338" s="362"/>
      <c r="E338" s="387"/>
      <c r="F338" s="387"/>
    </row>
    <row r="339" spans="1:6" ht="12.75" x14ac:dyDescent="0.2">
      <c r="A339" s="362"/>
      <c r="B339" s="362"/>
      <c r="C339" s="362"/>
      <c r="D339" s="362"/>
      <c r="E339" s="387"/>
      <c r="F339" s="387"/>
    </row>
    <row r="340" spans="1:6" ht="12.75" x14ac:dyDescent="0.2">
      <c r="A340" s="362"/>
      <c r="B340" s="362"/>
      <c r="C340" s="362"/>
      <c r="D340" s="362"/>
      <c r="E340" s="387"/>
      <c r="F340" s="387"/>
    </row>
    <row r="341" spans="1:6" ht="12.75" x14ac:dyDescent="0.2">
      <c r="A341" s="362"/>
      <c r="B341" s="362"/>
      <c r="C341" s="362"/>
      <c r="D341" s="362"/>
      <c r="E341" s="387"/>
      <c r="F341" s="387"/>
    </row>
    <row r="342" spans="1:6" ht="12.75" x14ac:dyDescent="0.2">
      <c r="A342" s="362"/>
      <c r="B342" s="362"/>
      <c r="C342" s="362"/>
      <c r="D342" s="362"/>
      <c r="E342" s="387"/>
      <c r="F342" s="387"/>
    </row>
    <row r="343" spans="1:6" ht="12.75" x14ac:dyDescent="0.2">
      <c r="A343" s="362"/>
      <c r="B343" s="362"/>
      <c r="C343" s="362"/>
      <c r="D343" s="362"/>
      <c r="E343" s="387"/>
      <c r="F343" s="387"/>
    </row>
    <row r="344" spans="1:6" ht="12.75" x14ac:dyDescent="0.2">
      <c r="A344" s="362"/>
      <c r="B344" s="362"/>
      <c r="C344" s="362"/>
      <c r="D344" s="362"/>
      <c r="E344" s="610" t="str">
        <f>[11]NOMBRE!B11</f>
        <v>DR. FRANCISCO MARTINEZ CAVALLA</v>
      </c>
      <c r="F344" s="610"/>
    </row>
    <row r="345" spans="1:6" ht="22.5" customHeight="1" x14ac:dyDescent="0.2">
      <c r="A345" s="362"/>
      <c r="B345" s="362"/>
      <c r="C345" s="362"/>
      <c r="D345" s="375"/>
      <c r="E345" s="609" t="str">
        <f>CONCATENATE("Director ",[11]NOMBRE!B1)</f>
        <v xml:space="preserve">Director </v>
      </c>
      <c r="F345" s="609"/>
    </row>
    <row r="346" spans="1:6" ht="12.75" x14ac:dyDescent="0.2">
      <c r="A346" s="362"/>
      <c r="B346" s="362"/>
      <c r="C346" s="362"/>
      <c r="D346" s="388"/>
      <c r="E346" s="362"/>
      <c r="F346" s="375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tabSelected="1" workbookViewId="0">
      <selection activeCell="C20" sqref="C20"/>
    </sheetView>
  </sheetViews>
  <sheetFormatPr baseColWidth="10" defaultRowHeight="10.5" x14ac:dyDescent="0.15"/>
  <cols>
    <col min="1" max="1" width="20.28515625" style="501" customWidth="1"/>
    <col min="2" max="2" width="83.140625" style="501" customWidth="1"/>
    <col min="3" max="5" width="21.42578125" style="501" customWidth="1"/>
    <col min="6" max="6" width="19.5703125" style="502" customWidth="1"/>
    <col min="7" max="7" width="2.42578125" style="501" customWidth="1"/>
    <col min="8" max="9" width="5.140625" style="501" customWidth="1"/>
    <col min="10" max="256" width="11.42578125" style="501"/>
    <col min="257" max="257" width="20.28515625" style="501" customWidth="1"/>
    <col min="258" max="258" width="83.140625" style="501" customWidth="1"/>
    <col min="259" max="261" width="21.42578125" style="501" customWidth="1"/>
    <col min="262" max="262" width="19.5703125" style="501" customWidth="1"/>
    <col min="263" max="263" width="2.42578125" style="501" customWidth="1"/>
    <col min="264" max="265" width="5.140625" style="501" customWidth="1"/>
    <col min="266" max="512" width="11.42578125" style="501"/>
    <col min="513" max="513" width="20.28515625" style="501" customWidth="1"/>
    <col min="514" max="514" width="83.140625" style="501" customWidth="1"/>
    <col min="515" max="517" width="21.42578125" style="501" customWidth="1"/>
    <col min="518" max="518" width="19.5703125" style="501" customWidth="1"/>
    <col min="519" max="519" width="2.42578125" style="501" customWidth="1"/>
    <col min="520" max="521" width="5.140625" style="501" customWidth="1"/>
    <col min="522" max="768" width="11.42578125" style="501"/>
    <col min="769" max="769" width="20.28515625" style="501" customWidth="1"/>
    <col min="770" max="770" width="83.140625" style="501" customWidth="1"/>
    <col min="771" max="773" width="21.42578125" style="501" customWidth="1"/>
    <col min="774" max="774" width="19.5703125" style="501" customWidth="1"/>
    <col min="775" max="775" width="2.42578125" style="501" customWidth="1"/>
    <col min="776" max="777" width="5.140625" style="501" customWidth="1"/>
    <col min="778" max="1024" width="11.42578125" style="501"/>
    <col min="1025" max="1025" width="20.28515625" style="501" customWidth="1"/>
    <col min="1026" max="1026" width="83.140625" style="501" customWidth="1"/>
    <col min="1027" max="1029" width="21.42578125" style="501" customWidth="1"/>
    <col min="1030" max="1030" width="19.5703125" style="501" customWidth="1"/>
    <col min="1031" max="1031" width="2.42578125" style="501" customWidth="1"/>
    <col min="1032" max="1033" width="5.140625" style="501" customWidth="1"/>
    <col min="1034" max="1280" width="11.42578125" style="501"/>
    <col min="1281" max="1281" width="20.28515625" style="501" customWidth="1"/>
    <col min="1282" max="1282" width="83.140625" style="501" customWidth="1"/>
    <col min="1283" max="1285" width="21.42578125" style="501" customWidth="1"/>
    <col min="1286" max="1286" width="19.5703125" style="501" customWidth="1"/>
    <col min="1287" max="1287" width="2.42578125" style="501" customWidth="1"/>
    <col min="1288" max="1289" width="5.140625" style="501" customWidth="1"/>
    <col min="1290" max="1536" width="11.42578125" style="501"/>
    <col min="1537" max="1537" width="20.28515625" style="501" customWidth="1"/>
    <col min="1538" max="1538" width="83.140625" style="501" customWidth="1"/>
    <col min="1539" max="1541" width="21.42578125" style="501" customWidth="1"/>
    <col min="1542" max="1542" width="19.5703125" style="501" customWidth="1"/>
    <col min="1543" max="1543" width="2.42578125" style="501" customWidth="1"/>
    <col min="1544" max="1545" width="5.140625" style="501" customWidth="1"/>
    <col min="1546" max="1792" width="11.42578125" style="501"/>
    <col min="1793" max="1793" width="20.28515625" style="501" customWidth="1"/>
    <col min="1794" max="1794" width="83.140625" style="501" customWidth="1"/>
    <col min="1795" max="1797" width="21.42578125" style="501" customWidth="1"/>
    <col min="1798" max="1798" width="19.5703125" style="501" customWidth="1"/>
    <col min="1799" max="1799" width="2.42578125" style="501" customWidth="1"/>
    <col min="1800" max="1801" width="5.140625" style="501" customWidth="1"/>
    <col min="1802" max="2048" width="11.42578125" style="501"/>
    <col min="2049" max="2049" width="20.28515625" style="501" customWidth="1"/>
    <col min="2050" max="2050" width="83.140625" style="501" customWidth="1"/>
    <col min="2051" max="2053" width="21.42578125" style="501" customWidth="1"/>
    <col min="2054" max="2054" width="19.5703125" style="501" customWidth="1"/>
    <col min="2055" max="2055" width="2.42578125" style="501" customWidth="1"/>
    <col min="2056" max="2057" width="5.140625" style="501" customWidth="1"/>
    <col min="2058" max="2304" width="11.42578125" style="501"/>
    <col min="2305" max="2305" width="20.28515625" style="501" customWidth="1"/>
    <col min="2306" max="2306" width="83.140625" style="501" customWidth="1"/>
    <col min="2307" max="2309" width="21.42578125" style="501" customWidth="1"/>
    <col min="2310" max="2310" width="19.5703125" style="501" customWidth="1"/>
    <col min="2311" max="2311" width="2.42578125" style="501" customWidth="1"/>
    <col min="2312" max="2313" width="5.140625" style="501" customWidth="1"/>
    <col min="2314" max="2560" width="11.42578125" style="501"/>
    <col min="2561" max="2561" width="20.28515625" style="501" customWidth="1"/>
    <col min="2562" max="2562" width="83.140625" style="501" customWidth="1"/>
    <col min="2563" max="2565" width="21.42578125" style="501" customWidth="1"/>
    <col min="2566" max="2566" width="19.5703125" style="501" customWidth="1"/>
    <col min="2567" max="2567" width="2.42578125" style="501" customWidth="1"/>
    <col min="2568" max="2569" width="5.140625" style="501" customWidth="1"/>
    <col min="2570" max="2816" width="11.42578125" style="501"/>
    <col min="2817" max="2817" width="20.28515625" style="501" customWidth="1"/>
    <col min="2818" max="2818" width="83.140625" style="501" customWidth="1"/>
    <col min="2819" max="2821" width="21.42578125" style="501" customWidth="1"/>
    <col min="2822" max="2822" width="19.5703125" style="501" customWidth="1"/>
    <col min="2823" max="2823" width="2.42578125" style="501" customWidth="1"/>
    <col min="2824" max="2825" width="5.140625" style="501" customWidth="1"/>
    <col min="2826" max="3072" width="11.42578125" style="501"/>
    <col min="3073" max="3073" width="20.28515625" style="501" customWidth="1"/>
    <col min="3074" max="3074" width="83.140625" style="501" customWidth="1"/>
    <col min="3075" max="3077" width="21.42578125" style="501" customWidth="1"/>
    <col min="3078" max="3078" width="19.5703125" style="501" customWidth="1"/>
    <col min="3079" max="3079" width="2.42578125" style="501" customWidth="1"/>
    <col min="3080" max="3081" width="5.140625" style="501" customWidth="1"/>
    <col min="3082" max="3328" width="11.42578125" style="501"/>
    <col min="3329" max="3329" width="20.28515625" style="501" customWidth="1"/>
    <col min="3330" max="3330" width="83.140625" style="501" customWidth="1"/>
    <col min="3331" max="3333" width="21.42578125" style="501" customWidth="1"/>
    <col min="3334" max="3334" width="19.5703125" style="501" customWidth="1"/>
    <col min="3335" max="3335" width="2.42578125" style="501" customWidth="1"/>
    <col min="3336" max="3337" width="5.140625" style="501" customWidth="1"/>
    <col min="3338" max="3584" width="11.42578125" style="501"/>
    <col min="3585" max="3585" width="20.28515625" style="501" customWidth="1"/>
    <col min="3586" max="3586" width="83.140625" style="501" customWidth="1"/>
    <col min="3587" max="3589" width="21.42578125" style="501" customWidth="1"/>
    <col min="3590" max="3590" width="19.5703125" style="501" customWidth="1"/>
    <col min="3591" max="3591" width="2.42578125" style="501" customWidth="1"/>
    <col min="3592" max="3593" width="5.140625" style="501" customWidth="1"/>
    <col min="3594" max="3840" width="11.42578125" style="501"/>
    <col min="3841" max="3841" width="20.28515625" style="501" customWidth="1"/>
    <col min="3842" max="3842" width="83.140625" style="501" customWidth="1"/>
    <col min="3843" max="3845" width="21.42578125" style="501" customWidth="1"/>
    <col min="3846" max="3846" width="19.5703125" style="501" customWidth="1"/>
    <col min="3847" max="3847" width="2.42578125" style="501" customWidth="1"/>
    <col min="3848" max="3849" width="5.140625" style="501" customWidth="1"/>
    <col min="3850" max="4096" width="11.42578125" style="501"/>
    <col min="4097" max="4097" width="20.28515625" style="501" customWidth="1"/>
    <col min="4098" max="4098" width="83.140625" style="501" customWidth="1"/>
    <col min="4099" max="4101" width="21.42578125" style="501" customWidth="1"/>
    <col min="4102" max="4102" width="19.5703125" style="501" customWidth="1"/>
    <col min="4103" max="4103" width="2.42578125" style="501" customWidth="1"/>
    <col min="4104" max="4105" width="5.140625" style="501" customWidth="1"/>
    <col min="4106" max="4352" width="11.42578125" style="501"/>
    <col min="4353" max="4353" width="20.28515625" style="501" customWidth="1"/>
    <col min="4354" max="4354" width="83.140625" style="501" customWidth="1"/>
    <col min="4355" max="4357" width="21.42578125" style="501" customWidth="1"/>
    <col min="4358" max="4358" width="19.5703125" style="501" customWidth="1"/>
    <col min="4359" max="4359" width="2.42578125" style="501" customWidth="1"/>
    <col min="4360" max="4361" width="5.140625" style="501" customWidth="1"/>
    <col min="4362" max="4608" width="11.42578125" style="501"/>
    <col min="4609" max="4609" width="20.28515625" style="501" customWidth="1"/>
    <col min="4610" max="4610" width="83.140625" style="501" customWidth="1"/>
    <col min="4611" max="4613" width="21.42578125" style="501" customWidth="1"/>
    <col min="4614" max="4614" width="19.5703125" style="501" customWidth="1"/>
    <col min="4615" max="4615" width="2.42578125" style="501" customWidth="1"/>
    <col min="4616" max="4617" width="5.140625" style="501" customWidth="1"/>
    <col min="4618" max="4864" width="11.42578125" style="501"/>
    <col min="4865" max="4865" width="20.28515625" style="501" customWidth="1"/>
    <col min="4866" max="4866" width="83.140625" style="501" customWidth="1"/>
    <col min="4867" max="4869" width="21.42578125" style="501" customWidth="1"/>
    <col min="4870" max="4870" width="19.5703125" style="501" customWidth="1"/>
    <col min="4871" max="4871" width="2.42578125" style="501" customWidth="1"/>
    <col min="4872" max="4873" width="5.140625" style="501" customWidth="1"/>
    <col min="4874" max="5120" width="11.42578125" style="501"/>
    <col min="5121" max="5121" width="20.28515625" style="501" customWidth="1"/>
    <col min="5122" max="5122" width="83.140625" style="501" customWidth="1"/>
    <col min="5123" max="5125" width="21.42578125" style="501" customWidth="1"/>
    <col min="5126" max="5126" width="19.5703125" style="501" customWidth="1"/>
    <col min="5127" max="5127" width="2.42578125" style="501" customWidth="1"/>
    <col min="5128" max="5129" width="5.140625" style="501" customWidth="1"/>
    <col min="5130" max="5376" width="11.42578125" style="501"/>
    <col min="5377" max="5377" width="20.28515625" style="501" customWidth="1"/>
    <col min="5378" max="5378" width="83.140625" style="501" customWidth="1"/>
    <col min="5379" max="5381" width="21.42578125" style="501" customWidth="1"/>
    <col min="5382" max="5382" width="19.5703125" style="501" customWidth="1"/>
    <col min="5383" max="5383" width="2.42578125" style="501" customWidth="1"/>
    <col min="5384" max="5385" width="5.140625" style="501" customWidth="1"/>
    <col min="5386" max="5632" width="11.42578125" style="501"/>
    <col min="5633" max="5633" width="20.28515625" style="501" customWidth="1"/>
    <col min="5634" max="5634" width="83.140625" style="501" customWidth="1"/>
    <col min="5635" max="5637" width="21.42578125" style="501" customWidth="1"/>
    <col min="5638" max="5638" width="19.5703125" style="501" customWidth="1"/>
    <col min="5639" max="5639" width="2.42578125" style="501" customWidth="1"/>
    <col min="5640" max="5641" width="5.140625" style="501" customWidth="1"/>
    <col min="5642" max="5888" width="11.42578125" style="501"/>
    <col min="5889" max="5889" width="20.28515625" style="501" customWidth="1"/>
    <col min="5890" max="5890" width="83.140625" style="501" customWidth="1"/>
    <col min="5891" max="5893" width="21.42578125" style="501" customWidth="1"/>
    <col min="5894" max="5894" width="19.5703125" style="501" customWidth="1"/>
    <col min="5895" max="5895" width="2.42578125" style="501" customWidth="1"/>
    <col min="5896" max="5897" width="5.140625" style="501" customWidth="1"/>
    <col min="5898" max="6144" width="11.42578125" style="501"/>
    <col min="6145" max="6145" width="20.28515625" style="501" customWidth="1"/>
    <col min="6146" max="6146" width="83.140625" style="501" customWidth="1"/>
    <col min="6147" max="6149" width="21.42578125" style="501" customWidth="1"/>
    <col min="6150" max="6150" width="19.5703125" style="501" customWidth="1"/>
    <col min="6151" max="6151" width="2.42578125" style="501" customWidth="1"/>
    <col min="6152" max="6153" width="5.140625" style="501" customWidth="1"/>
    <col min="6154" max="6400" width="11.42578125" style="501"/>
    <col min="6401" max="6401" width="20.28515625" style="501" customWidth="1"/>
    <col min="6402" max="6402" width="83.140625" style="501" customWidth="1"/>
    <col min="6403" max="6405" width="21.42578125" style="501" customWidth="1"/>
    <col min="6406" max="6406" width="19.5703125" style="501" customWidth="1"/>
    <col min="6407" max="6407" width="2.42578125" style="501" customWidth="1"/>
    <col min="6408" max="6409" width="5.140625" style="501" customWidth="1"/>
    <col min="6410" max="6656" width="11.42578125" style="501"/>
    <col min="6657" max="6657" width="20.28515625" style="501" customWidth="1"/>
    <col min="6658" max="6658" width="83.140625" style="501" customWidth="1"/>
    <col min="6659" max="6661" width="21.42578125" style="501" customWidth="1"/>
    <col min="6662" max="6662" width="19.5703125" style="501" customWidth="1"/>
    <col min="6663" max="6663" width="2.42578125" style="501" customWidth="1"/>
    <col min="6664" max="6665" width="5.140625" style="501" customWidth="1"/>
    <col min="6666" max="6912" width="11.42578125" style="501"/>
    <col min="6913" max="6913" width="20.28515625" style="501" customWidth="1"/>
    <col min="6914" max="6914" width="83.140625" style="501" customWidth="1"/>
    <col min="6915" max="6917" width="21.42578125" style="501" customWidth="1"/>
    <col min="6918" max="6918" width="19.5703125" style="501" customWidth="1"/>
    <col min="6919" max="6919" width="2.42578125" style="501" customWidth="1"/>
    <col min="6920" max="6921" width="5.140625" style="501" customWidth="1"/>
    <col min="6922" max="7168" width="11.42578125" style="501"/>
    <col min="7169" max="7169" width="20.28515625" style="501" customWidth="1"/>
    <col min="7170" max="7170" width="83.140625" style="501" customWidth="1"/>
    <col min="7171" max="7173" width="21.42578125" style="501" customWidth="1"/>
    <col min="7174" max="7174" width="19.5703125" style="501" customWidth="1"/>
    <col min="7175" max="7175" width="2.42578125" style="501" customWidth="1"/>
    <col min="7176" max="7177" width="5.140625" style="501" customWidth="1"/>
    <col min="7178" max="7424" width="11.42578125" style="501"/>
    <col min="7425" max="7425" width="20.28515625" style="501" customWidth="1"/>
    <col min="7426" max="7426" width="83.140625" style="501" customWidth="1"/>
    <col min="7427" max="7429" width="21.42578125" style="501" customWidth="1"/>
    <col min="7430" max="7430" width="19.5703125" style="501" customWidth="1"/>
    <col min="7431" max="7431" width="2.42578125" style="501" customWidth="1"/>
    <col min="7432" max="7433" width="5.140625" style="501" customWidth="1"/>
    <col min="7434" max="7680" width="11.42578125" style="501"/>
    <col min="7681" max="7681" width="20.28515625" style="501" customWidth="1"/>
    <col min="7682" max="7682" width="83.140625" style="501" customWidth="1"/>
    <col min="7683" max="7685" width="21.42578125" style="501" customWidth="1"/>
    <col min="7686" max="7686" width="19.5703125" style="501" customWidth="1"/>
    <col min="7687" max="7687" width="2.42578125" style="501" customWidth="1"/>
    <col min="7688" max="7689" width="5.140625" style="501" customWidth="1"/>
    <col min="7690" max="7936" width="11.42578125" style="501"/>
    <col min="7937" max="7937" width="20.28515625" style="501" customWidth="1"/>
    <col min="7938" max="7938" width="83.140625" style="501" customWidth="1"/>
    <col min="7939" max="7941" width="21.42578125" style="501" customWidth="1"/>
    <col min="7942" max="7942" width="19.5703125" style="501" customWidth="1"/>
    <col min="7943" max="7943" width="2.42578125" style="501" customWidth="1"/>
    <col min="7944" max="7945" width="5.140625" style="501" customWidth="1"/>
    <col min="7946" max="8192" width="11.42578125" style="501"/>
    <col min="8193" max="8193" width="20.28515625" style="501" customWidth="1"/>
    <col min="8194" max="8194" width="83.140625" style="501" customWidth="1"/>
    <col min="8195" max="8197" width="21.42578125" style="501" customWidth="1"/>
    <col min="8198" max="8198" width="19.5703125" style="501" customWidth="1"/>
    <col min="8199" max="8199" width="2.42578125" style="501" customWidth="1"/>
    <col min="8200" max="8201" width="5.140625" style="501" customWidth="1"/>
    <col min="8202" max="8448" width="11.42578125" style="501"/>
    <col min="8449" max="8449" width="20.28515625" style="501" customWidth="1"/>
    <col min="8450" max="8450" width="83.140625" style="501" customWidth="1"/>
    <col min="8451" max="8453" width="21.42578125" style="501" customWidth="1"/>
    <col min="8454" max="8454" width="19.5703125" style="501" customWidth="1"/>
    <col min="8455" max="8455" width="2.42578125" style="501" customWidth="1"/>
    <col min="8456" max="8457" width="5.140625" style="501" customWidth="1"/>
    <col min="8458" max="8704" width="11.42578125" style="501"/>
    <col min="8705" max="8705" width="20.28515625" style="501" customWidth="1"/>
    <col min="8706" max="8706" width="83.140625" style="501" customWidth="1"/>
    <col min="8707" max="8709" width="21.42578125" style="501" customWidth="1"/>
    <col min="8710" max="8710" width="19.5703125" style="501" customWidth="1"/>
    <col min="8711" max="8711" width="2.42578125" style="501" customWidth="1"/>
    <col min="8712" max="8713" width="5.140625" style="501" customWidth="1"/>
    <col min="8714" max="8960" width="11.42578125" style="501"/>
    <col min="8961" max="8961" width="20.28515625" style="501" customWidth="1"/>
    <col min="8962" max="8962" width="83.140625" style="501" customWidth="1"/>
    <col min="8963" max="8965" width="21.42578125" style="501" customWidth="1"/>
    <col min="8966" max="8966" width="19.5703125" style="501" customWidth="1"/>
    <col min="8967" max="8967" width="2.42578125" style="501" customWidth="1"/>
    <col min="8968" max="8969" width="5.140625" style="501" customWidth="1"/>
    <col min="8970" max="9216" width="11.42578125" style="501"/>
    <col min="9217" max="9217" width="20.28515625" style="501" customWidth="1"/>
    <col min="9218" max="9218" width="83.140625" style="501" customWidth="1"/>
    <col min="9219" max="9221" width="21.42578125" style="501" customWidth="1"/>
    <col min="9222" max="9222" width="19.5703125" style="501" customWidth="1"/>
    <col min="9223" max="9223" width="2.42578125" style="501" customWidth="1"/>
    <col min="9224" max="9225" width="5.140625" style="501" customWidth="1"/>
    <col min="9226" max="9472" width="11.42578125" style="501"/>
    <col min="9473" max="9473" width="20.28515625" style="501" customWidth="1"/>
    <col min="9474" max="9474" width="83.140625" style="501" customWidth="1"/>
    <col min="9475" max="9477" width="21.42578125" style="501" customWidth="1"/>
    <col min="9478" max="9478" width="19.5703125" style="501" customWidth="1"/>
    <col min="9479" max="9479" width="2.42578125" style="501" customWidth="1"/>
    <col min="9480" max="9481" width="5.140625" style="501" customWidth="1"/>
    <col min="9482" max="9728" width="11.42578125" style="501"/>
    <col min="9729" max="9729" width="20.28515625" style="501" customWidth="1"/>
    <col min="9730" max="9730" width="83.140625" style="501" customWidth="1"/>
    <col min="9731" max="9733" width="21.42578125" style="501" customWidth="1"/>
    <col min="9734" max="9734" width="19.5703125" style="501" customWidth="1"/>
    <col min="9735" max="9735" width="2.42578125" style="501" customWidth="1"/>
    <col min="9736" max="9737" width="5.140625" style="501" customWidth="1"/>
    <col min="9738" max="9984" width="11.42578125" style="501"/>
    <col min="9985" max="9985" width="20.28515625" style="501" customWidth="1"/>
    <col min="9986" max="9986" width="83.140625" style="501" customWidth="1"/>
    <col min="9987" max="9989" width="21.42578125" style="501" customWidth="1"/>
    <col min="9990" max="9990" width="19.5703125" style="501" customWidth="1"/>
    <col min="9991" max="9991" width="2.42578125" style="501" customWidth="1"/>
    <col min="9992" max="9993" width="5.140625" style="501" customWidth="1"/>
    <col min="9994" max="10240" width="11.42578125" style="501"/>
    <col min="10241" max="10241" width="20.28515625" style="501" customWidth="1"/>
    <col min="10242" max="10242" width="83.140625" style="501" customWidth="1"/>
    <col min="10243" max="10245" width="21.42578125" style="501" customWidth="1"/>
    <col min="10246" max="10246" width="19.5703125" style="501" customWidth="1"/>
    <col min="10247" max="10247" width="2.42578125" style="501" customWidth="1"/>
    <col min="10248" max="10249" width="5.140625" style="501" customWidth="1"/>
    <col min="10250" max="10496" width="11.42578125" style="501"/>
    <col min="10497" max="10497" width="20.28515625" style="501" customWidth="1"/>
    <col min="10498" max="10498" width="83.140625" style="501" customWidth="1"/>
    <col min="10499" max="10501" width="21.42578125" style="501" customWidth="1"/>
    <col min="10502" max="10502" width="19.5703125" style="501" customWidth="1"/>
    <col min="10503" max="10503" width="2.42578125" style="501" customWidth="1"/>
    <col min="10504" max="10505" width="5.140625" style="501" customWidth="1"/>
    <col min="10506" max="10752" width="11.42578125" style="501"/>
    <col min="10753" max="10753" width="20.28515625" style="501" customWidth="1"/>
    <col min="10754" max="10754" width="83.140625" style="501" customWidth="1"/>
    <col min="10755" max="10757" width="21.42578125" style="501" customWidth="1"/>
    <col min="10758" max="10758" width="19.5703125" style="501" customWidth="1"/>
    <col min="10759" max="10759" width="2.42578125" style="501" customWidth="1"/>
    <col min="10760" max="10761" width="5.140625" style="501" customWidth="1"/>
    <col min="10762" max="11008" width="11.42578125" style="501"/>
    <col min="11009" max="11009" width="20.28515625" style="501" customWidth="1"/>
    <col min="11010" max="11010" width="83.140625" style="501" customWidth="1"/>
    <col min="11011" max="11013" width="21.42578125" style="501" customWidth="1"/>
    <col min="11014" max="11014" width="19.5703125" style="501" customWidth="1"/>
    <col min="11015" max="11015" width="2.42578125" style="501" customWidth="1"/>
    <col min="11016" max="11017" width="5.140625" style="501" customWidth="1"/>
    <col min="11018" max="11264" width="11.42578125" style="501"/>
    <col min="11265" max="11265" width="20.28515625" style="501" customWidth="1"/>
    <col min="11266" max="11266" width="83.140625" style="501" customWidth="1"/>
    <col min="11267" max="11269" width="21.42578125" style="501" customWidth="1"/>
    <col min="11270" max="11270" width="19.5703125" style="501" customWidth="1"/>
    <col min="11271" max="11271" width="2.42578125" style="501" customWidth="1"/>
    <col min="11272" max="11273" width="5.140625" style="501" customWidth="1"/>
    <col min="11274" max="11520" width="11.42578125" style="501"/>
    <col min="11521" max="11521" width="20.28515625" style="501" customWidth="1"/>
    <col min="11522" max="11522" width="83.140625" style="501" customWidth="1"/>
    <col min="11523" max="11525" width="21.42578125" style="501" customWidth="1"/>
    <col min="11526" max="11526" width="19.5703125" style="501" customWidth="1"/>
    <col min="11527" max="11527" width="2.42578125" style="501" customWidth="1"/>
    <col min="11528" max="11529" width="5.140625" style="501" customWidth="1"/>
    <col min="11530" max="11776" width="11.42578125" style="501"/>
    <col min="11777" max="11777" width="20.28515625" style="501" customWidth="1"/>
    <col min="11778" max="11778" width="83.140625" style="501" customWidth="1"/>
    <col min="11779" max="11781" width="21.42578125" style="501" customWidth="1"/>
    <col min="11782" max="11782" width="19.5703125" style="501" customWidth="1"/>
    <col min="11783" max="11783" width="2.42578125" style="501" customWidth="1"/>
    <col min="11784" max="11785" width="5.140625" style="501" customWidth="1"/>
    <col min="11786" max="12032" width="11.42578125" style="501"/>
    <col min="12033" max="12033" width="20.28515625" style="501" customWidth="1"/>
    <col min="12034" max="12034" width="83.140625" style="501" customWidth="1"/>
    <col min="12035" max="12037" width="21.42578125" style="501" customWidth="1"/>
    <col min="12038" max="12038" width="19.5703125" style="501" customWidth="1"/>
    <col min="12039" max="12039" width="2.42578125" style="501" customWidth="1"/>
    <col min="12040" max="12041" width="5.140625" style="501" customWidth="1"/>
    <col min="12042" max="12288" width="11.42578125" style="501"/>
    <col min="12289" max="12289" width="20.28515625" style="501" customWidth="1"/>
    <col min="12290" max="12290" width="83.140625" style="501" customWidth="1"/>
    <col min="12291" max="12293" width="21.42578125" style="501" customWidth="1"/>
    <col min="12294" max="12294" width="19.5703125" style="501" customWidth="1"/>
    <col min="12295" max="12295" width="2.42578125" style="501" customWidth="1"/>
    <col min="12296" max="12297" width="5.140625" style="501" customWidth="1"/>
    <col min="12298" max="12544" width="11.42578125" style="501"/>
    <col min="12545" max="12545" width="20.28515625" style="501" customWidth="1"/>
    <col min="12546" max="12546" width="83.140625" style="501" customWidth="1"/>
    <col min="12547" max="12549" width="21.42578125" style="501" customWidth="1"/>
    <col min="12550" max="12550" width="19.5703125" style="501" customWidth="1"/>
    <col min="12551" max="12551" width="2.42578125" style="501" customWidth="1"/>
    <col min="12552" max="12553" width="5.140625" style="501" customWidth="1"/>
    <col min="12554" max="12800" width="11.42578125" style="501"/>
    <col min="12801" max="12801" width="20.28515625" style="501" customWidth="1"/>
    <col min="12802" max="12802" width="83.140625" style="501" customWidth="1"/>
    <col min="12803" max="12805" width="21.42578125" style="501" customWidth="1"/>
    <col min="12806" max="12806" width="19.5703125" style="501" customWidth="1"/>
    <col min="12807" max="12807" width="2.42578125" style="501" customWidth="1"/>
    <col min="12808" max="12809" width="5.140625" style="501" customWidth="1"/>
    <col min="12810" max="13056" width="11.42578125" style="501"/>
    <col min="13057" max="13057" width="20.28515625" style="501" customWidth="1"/>
    <col min="13058" max="13058" width="83.140625" style="501" customWidth="1"/>
    <col min="13059" max="13061" width="21.42578125" style="501" customWidth="1"/>
    <col min="13062" max="13062" width="19.5703125" style="501" customWidth="1"/>
    <col min="13063" max="13063" width="2.42578125" style="501" customWidth="1"/>
    <col min="13064" max="13065" width="5.140625" style="501" customWidth="1"/>
    <col min="13066" max="13312" width="11.42578125" style="501"/>
    <col min="13313" max="13313" width="20.28515625" style="501" customWidth="1"/>
    <col min="13314" max="13314" width="83.140625" style="501" customWidth="1"/>
    <col min="13315" max="13317" width="21.42578125" style="501" customWidth="1"/>
    <col min="13318" max="13318" width="19.5703125" style="501" customWidth="1"/>
    <col min="13319" max="13319" width="2.42578125" style="501" customWidth="1"/>
    <col min="13320" max="13321" width="5.140625" style="501" customWidth="1"/>
    <col min="13322" max="13568" width="11.42578125" style="501"/>
    <col min="13569" max="13569" width="20.28515625" style="501" customWidth="1"/>
    <col min="13570" max="13570" width="83.140625" style="501" customWidth="1"/>
    <col min="13571" max="13573" width="21.42578125" style="501" customWidth="1"/>
    <col min="13574" max="13574" width="19.5703125" style="501" customWidth="1"/>
    <col min="13575" max="13575" width="2.42578125" style="501" customWidth="1"/>
    <col min="13576" max="13577" width="5.140625" style="501" customWidth="1"/>
    <col min="13578" max="13824" width="11.42578125" style="501"/>
    <col min="13825" max="13825" width="20.28515625" style="501" customWidth="1"/>
    <col min="13826" max="13826" width="83.140625" style="501" customWidth="1"/>
    <col min="13827" max="13829" width="21.42578125" style="501" customWidth="1"/>
    <col min="13830" max="13830" width="19.5703125" style="501" customWidth="1"/>
    <col min="13831" max="13831" width="2.42578125" style="501" customWidth="1"/>
    <col min="13832" max="13833" width="5.140625" style="501" customWidth="1"/>
    <col min="13834" max="14080" width="11.42578125" style="501"/>
    <col min="14081" max="14081" width="20.28515625" style="501" customWidth="1"/>
    <col min="14082" max="14082" width="83.140625" style="501" customWidth="1"/>
    <col min="14083" max="14085" width="21.42578125" style="501" customWidth="1"/>
    <col min="14086" max="14086" width="19.5703125" style="501" customWidth="1"/>
    <col min="14087" max="14087" width="2.42578125" style="501" customWidth="1"/>
    <col min="14088" max="14089" width="5.140625" style="501" customWidth="1"/>
    <col min="14090" max="14336" width="11.42578125" style="501"/>
    <col min="14337" max="14337" width="20.28515625" style="501" customWidth="1"/>
    <col min="14338" max="14338" width="83.140625" style="501" customWidth="1"/>
    <col min="14339" max="14341" width="21.42578125" style="501" customWidth="1"/>
    <col min="14342" max="14342" width="19.5703125" style="501" customWidth="1"/>
    <col min="14343" max="14343" width="2.42578125" style="501" customWidth="1"/>
    <col min="14344" max="14345" width="5.140625" style="501" customWidth="1"/>
    <col min="14346" max="14592" width="11.42578125" style="501"/>
    <col min="14593" max="14593" width="20.28515625" style="501" customWidth="1"/>
    <col min="14594" max="14594" width="83.140625" style="501" customWidth="1"/>
    <col min="14595" max="14597" width="21.42578125" style="501" customWidth="1"/>
    <col min="14598" max="14598" width="19.5703125" style="501" customWidth="1"/>
    <col min="14599" max="14599" width="2.42578125" style="501" customWidth="1"/>
    <col min="14600" max="14601" width="5.140625" style="501" customWidth="1"/>
    <col min="14602" max="14848" width="11.42578125" style="501"/>
    <col min="14849" max="14849" width="20.28515625" style="501" customWidth="1"/>
    <col min="14850" max="14850" width="83.140625" style="501" customWidth="1"/>
    <col min="14851" max="14853" width="21.42578125" style="501" customWidth="1"/>
    <col min="14854" max="14854" width="19.5703125" style="501" customWidth="1"/>
    <col min="14855" max="14855" width="2.42578125" style="501" customWidth="1"/>
    <col min="14856" max="14857" width="5.140625" style="501" customWidth="1"/>
    <col min="14858" max="15104" width="11.42578125" style="501"/>
    <col min="15105" max="15105" width="20.28515625" style="501" customWidth="1"/>
    <col min="15106" max="15106" width="83.140625" style="501" customWidth="1"/>
    <col min="15107" max="15109" width="21.42578125" style="501" customWidth="1"/>
    <col min="15110" max="15110" width="19.5703125" style="501" customWidth="1"/>
    <col min="15111" max="15111" width="2.42578125" style="501" customWidth="1"/>
    <col min="15112" max="15113" width="5.140625" style="501" customWidth="1"/>
    <col min="15114" max="15360" width="11.42578125" style="501"/>
    <col min="15361" max="15361" width="20.28515625" style="501" customWidth="1"/>
    <col min="15362" max="15362" width="83.140625" style="501" customWidth="1"/>
    <col min="15363" max="15365" width="21.42578125" style="501" customWidth="1"/>
    <col min="15366" max="15366" width="19.5703125" style="501" customWidth="1"/>
    <col min="15367" max="15367" width="2.42578125" style="501" customWidth="1"/>
    <col min="15368" max="15369" width="5.140625" style="501" customWidth="1"/>
    <col min="15370" max="15616" width="11.42578125" style="501"/>
    <col min="15617" max="15617" width="20.28515625" style="501" customWidth="1"/>
    <col min="15618" max="15618" width="83.140625" style="501" customWidth="1"/>
    <col min="15619" max="15621" width="21.42578125" style="501" customWidth="1"/>
    <col min="15622" max="15622" width="19.5703125" style="501" customWidth="1"/>
    <col min="15623" max="15623" width="2.42578125" style="501" customWidth="1"/>
    <col min="15624" max="15625" width="5.140625" style="501" customWidth="1"/>
    <col min="15626" max="15872" width="11.42578125" style="501"/>
    <col min="15873" max="15873" width="20.28515625" style="501" customWidth="1"/>
    <col min="15874" max="15874" width="83.140625" style="501" customWidth="1"/>
    <col min="15875" max="15877" width="21.42578125" style="501" customWidth="1"/>
    <col min="15878" max="15878" width="19.5703125" style="501" customWidth="1"/>
    <col min="15879" max="15879" width="2.42578125" style="501" customWidth="1"/>
    <col min="15880" max="15881" width="5.140625" style="501" customWidth="1"/>
    <col min="15882" max="16128" width="11.42578125" style="501"/>
    <col min="16129" max="16129" width="20.28515625" style="501" customWidth="1"/>
    <col min="16130" max="16130" width="83.140625" style="501" customWidth="1"/>
    <col min="16131" max="16133" width="21.42578125" style="501" customWidth="1"/>
    <col min="16134" max="16134" width="19.5703125" style="501" customWidth="1"/>
    <col min="16135" max="16135" width="2.42578125" style="501" customWidth="1"/>
    <col min="16136" max="16137" width="5.140625" style="501" customWidth="1"/>
    <col min="16138" max="16384" width="11.42578125" style="501"/>
  </cols>
  <sheetData>
    <row r="1" spans="1:7" s="501" customFormat="1" ht="12.75" x14ac:dyDescent="0.2">
      <c r="A1" s="256" t="s">
        <v>0</v>
      </c>
      <c r="B1" s="257"/>
      <c r="C1" s="577" t="s">
        <v>1</v>
      </c>
      <c r="D1" s="578"/>
      <c r="E1" s="579"/>
      <c r="F1" s="258"/>
    </row>
    <row r="2" spans="1:7" s="501" customFormat="1" ht="12.75" x14ac:dyDescent="0.2">
      <c r="A2" s="256" t="str">
        <f>CONCATENATE("COMUNA: ",[12]NOMBRE!B2," - ","( ",[12]NOMBRE!C2,[12]NOMBRE!D2,[12]NOMBRE!E2,[12]NOMBRE!F2,[12]NOMBRE!G2," )")</f>
        <v>COMUNA: LINARES  - ( 07401 )</v>
      </c>
      <c r="B2" s="257"/>
      <c r="C2" s="580"/>
      <c r="D2" s="581"/>
      <c r="E2" s="582"/>
      <c r="F2" s="259"/>
      <c r="G2" s="260"/>
    </row>
    <row r="3" spans="1:7" s="501" customFormat="1" ht="12.75" x14ac:dyDescent="0.2">
      <c r="A3" s="256" t="str">
        <f>CONCATENATE("ESTABLECIMIENTO/ESTRATEGIA: ",[12]NOMBRE!B3," - ","( ",[12]NOMBRE!C3,[12]NOMBRE!D3,[12]NOMBRE!E3,[12]NOMBRE!F3,[12]NOMBRE!G3,[12]NOMBRE!H3," )")</f>
        <v>ESTABLECIMIENTO/ESTRATEGIA: HOSPITAL DE LINARES  - ( 116108 )</v>
      </c>
      <c r="B3" s="257"/>
      <c r="C3" s="577" t="s">
        <v>2</v>
      </c>
      <c r="D3" s="578"/>
      <c r="E3" s="579"/>
      <c r="F3" s="259"/>
      <c r="G3" s="261"/>
    </row>
    <row r="4" spans="1:7" s="501" customFormat="1" ht="12.75" x14ac:dyDescent="0.2">
      <c r="A4" s="256" t="str">
        <f>CONCATENATE("MES: ",[12]NOMBRE!B6," - ","( ",[12]NOMBRE!C6,[12]NOMBRE!D6," )")</f>
        <v>MES: DICIEMBRE - ( 12 )</v>
      </c>
      <c r="B4" s="257"/>
      <c r="C4" s="580" t="str">
        <f>CONCATENATE([12]NOMBRE!B6," ","( ",[12]NOMBRE!C6,[12]NOMBRE!D6," )")</f>
        <v>DICIEMBRE ( 12 )</v>
      </c>
      <c r="D4" s="581"/>
      <c r="E4" s="582"/>
      <c r="F4" s="259"/>
      <c r="G4" s="261"/>
    </row>
    <row r="5" spans="1:7" s="501" customFormat="1" ht="12.75" x14ac:dyDescent="0.2">
      <c r="A5" s="256" t="str">
        <f>CONCATENATE("AÑO: ",[12]NOMBRE!B7)</f>
        <v>AÑO: 2014</v>
      </c>
      <c r="B5" s="257"/>
      <c r="C5" s="577" t="s">
        <v>3</v>
      </c>
      <c r="D5" s="578"/>
      <c r="E5" s="579"/>
      <c r="F5" s="259"/>
      <c r="G5" s="261"/>
    </row>
    <row r="6" spans="1:7" s="501" customFormat="1" ht="12.75" x14ac:dyDescent="0.2">
      <c r="A6" s="262"/>
      <c r="B6" s="262"/>
      <c r="C6" s="580">
        <f>[12]NOMBRE!B7</f>
        <v>2014</v>
      </c>
      <c r="D6" s="581"/>
      <c r="E6" s="582"/>
      <c r="F6" s="259"/>
      <c r="G6" s="261"/>
    </row>
    <row r="7" spans="1:7" s="501" customFormat="1" ht="15" x14ac:dyDescent="0.2">
      <c r="A7" s="589" t="s">
        <v>4</v>
      </c>
      <c r="B7" s="590"/>
      <c r="C7" s="594" t="s">
        <v>5</v>
      </c>
      <c r="D7" s="595"/>
      <c r="E7" s="596"/>
      <c r="F7" s="259"/>
      <c r="G7" s="261"/>
    </row>
    <row r="8" spans="1:7" s="501" customFormat="1" ht="15" x14ac:dyDescent="0.2">
      <c r="A8" s="262"/>
      <c r="B8" s="540" t="s">
        <v>6</v>
      </c>
      <c r="C8" s="580" t="str">
        <f>CONCATENATE([12]NOMBRE!B3," ","( ",[12]NOMBRE!C3,[12]NOMBRE!D3,[12]NOMBRE!E3,[12]NOMBRE!F3,[12]NOMBRE!G3," )")</f>
        <v>HOSPITAL DE LINARES  ( 11610 )</v>
      </c>
      <c r="D8" s="581"/>
      <c r="E8" s="582"/>
      <c r="F8" s="259"/>
      <c r="G8" s="261"/>
    </row>
    <row r="9" spans="1:7" s="501" customFormat="1" ht="12.75" x14ac:dyDescent="0.2">
      <c r="A9" s="262"/>
      <c r="B9" s="262"/>
      <c r="C9" s="262"/>
      <c r="D9" s="262"/>
      <c r="E9" s="262"/>
      <c r="F9" s="259"/>
      <c r="G9" s="261"/>
    </row>
    <row r="10" spans="1:7" s="501" customFormat="1" ht="12.75" x14ac:dyDescent="0.2">
      <c r="A10" s="262"/>
      <c r="B10" s="262"/>
      <c r="C10" s="262"/>
      <c r="D10" s="262"/>
      <c r="E10" s="262"/>
      <c r="F10" s="259"/>
      <c r="G10" s="263"/>
    </row>
    <row r="11" spans="1:7" s="501" customFormat="1" ht="12.75" x14ac:dyDescent="0.2">
      <c r="A11" s="583" t="s">
        <v>7</v>
      </c>
      <c r="B11" s="584"/>
      <c r="C11" s="584"/>
      <c r="D11" s="584"/>
      <c r="E11" s="585"/>
      <c r="F11" s="259"/>
    </row>
    <row r="12" spans="1:7" s="501" customFormat="1" ht="43.5" customHeight="1" x14ac:dyDescent="0.2">
      <c r="A12" s="264" t="s">
        <v>8</v>
      </c>
      <c r="B12" s="264" t="s">
        <v>9</v>
      </c>
      <c r="C12" s="535" t="s">
        <v>10</v>
      </c>
      <c r="D12" s="310" t="s">
        <v>11</v>
      </c>
      <c r="E12" s="537" t="s">
        <v>12</v>
      </c>
      <c r="F12" s="262"/>
    </row>
    <row r="13" spans="1:7" s="501" customFormat="1" ht="12.75" customHeight="1" x14ac:dyDescent="0.2">
      <c r="A13" s="586" t="s">
        <v>13</v>
      </c>
      <c r="B13" s="587"/>
      <c r="C13" s="587"/>
      <c r="D13" s="587"/>
      <c r="E13" s="588"/>
      <c r="F13" s="262"/>
    </row>
    <row r="14" spans="1:7" s="501" customFormat="1" ht="15" customHeight="1" x14ac:dyDescent="0.2">
      <c r="A14" s="434" t="s">
        <v>14</v>
      </c>
      <c r="B14" s="443" t="s">
        <v>15</v>
      </c>
      <c r="C14" s="380">
        <f>[12]BS17A!$D13</f>
        <v>0</v>
      </c>
      <c r="D14" s="267">
        <f>[12]BS17A!$U13</f>
        <v>4170</v>
      </c>
      <c r="E14" s="268">
        <f>[12]BS17A!$V13</f>
        <v>0</v>
      </c>
      <c r="F14" s="262"/>
    </row>
    <row r="15" spans="1:7" s="501" customFormat="1" ht="15" customHeight="1" x14ac:dyDescent="0.2">
      <c r="A15" s="435" t="s">
        <v>16</v>
      </c>
      <c r="B15" s="431" t="s">
        <v>17</v>
      </c>
      <c r="C15" s="380">
        <f>[12]BS17A!$D14</f>
        <v>0</v>
      </c>
      <c r="D15" s="270">
        <f>[12]BS17A!$U14</f>
        <v>5240</v>
      </c>
      <c r="E15" s="271">
        <f>[12]BS17A!$V14</f>
        <v>0</v>
      </c>
      <c r="F15" s="262"/>
    </row>
    <row r="16" spans="1:7" s="501" customFormat="1" ht="15" customHeight="1" x14ac:dyDescent="0.2">
      <c r="A16" s="435" t="s">
        <v>18</v>
      </c>
      <c r="B16" s="431" t="s">
        <v>19</v>
      </c>
      <c r="C16" s="380">
        <f>[12]BS17A!$D15</f>
        <v>6307</v>
      </c>
      <c r="D16" s="270">
        <f>[12]BS17A!$U15</f>
        <v>11250</v>
      </c>
      <c r="E16" s="271">
        <f>[12]BS17A!$V15</f>
        <v>70953750</v>
      </c>
      <c r="F16" s="262"/>
    </row>
    <row r="17" spans="1:6" s="501" customFormat="1" ht="15" customHeight="1" x14ac:dyDescent="0.2">
      <c r="A17" s="435" t="s">
        <v>20</v>
      </c>
      <c r="B17" s="431" t="s">
        <v>21</v>
      </c>
      <c r="C17" s="380">
        <f>[12]BS17A!$D16</f>
        <v>0</v>
      </c>
      <c r="D17" s="270">
        <f>[12]BS17A!$U16</f>
        <v>6720</v>
      </c>
      <c r="E17" s="271">
        <f>[12]BS17A!$V16</f>
        <v>0</v>
      </c>
      <c r="F17" s="262"/>
    </row>
    <row r="18" spans="1:6" s="501" customFormat="1" ht="15" customHeight="1" x14ac:dyDescent="0.2">
      <c r="A18" s="435" t="s">
        <v>22</v>
      </c>
      <c r="B18" s="431" t="s">
        <v>23</v>
      </c>
      <c r="C18" s="380">
        <f>[12]BS17A!$D17</f>
        <v>0</v>
      </c>
      <c r="D18" s="270">
        <f>[12]BS17A!$U17</f>
        <v>7370</v>
      </c>
      <c r="E18" s="271">
        <f>[12]BS17A!$V17</f>
        <v>0</v>
      </c>
      <c r="F18" s="262"/>
    </row>
    <row r="19" spans="1:6" s="501" customFormat="1" ht="33" customHeight="1" x14ac:dyDescent="0.2">
      <c r="A19" s="435" t="s">
        <v>24</v>
      </c>
      <c r="B19" s="485" t="s">
        <v>25</v>
      </c>
      <c r="C19" s="380">
        <f>[12]BS17A!$D20</f>
        <v>0</v>
      </c>
      <c r="D19" s="270">
        <f>[12]BS17A!$U20</f>
        <v>5690</v>
      </c>
      <c r="E19" s="271">
        <f>[12]BS17A!$V20</f>
        <v>0</v>
      </c>
      <c r="F19" s="262"/>
    </row>
    <row r="20" spans="1:6" s="501" customFormat="1" ht="42.75" customHeight="1" x14ac:dyDescent="0.2">
      <c r="A20" s="435" t="s">
        <v>26</v>
      </c>
      <c r="B20" s="485" t="s">
        <v>27</v>
      </c>
      <c r="C20" s="380">
        <f>[12]BS17A!$D21</f>
        <v>0</v>
      </c>
      <c r="D20" s="270">
        <f>[12]BS17A!$U21</f>
        <v>6820</v>
      </c>
      <c r="E20" s="271">
        <f>[12]BS17A!$V21</f>
        <v>0</v>
      </c>
      <c r="F20" s="262"/>
    </row>
    <row r="21" spans="1:6" s="501" customFormat="1" ht="42.75" customHeight="1" x14ac:dyDescent="0.2">
      <c r="A21" s="435" t="s">
        <v>28</v>
      </c>
      <c r="B21" s="485" t="s">
        <v>29</v>
      </c>
      <c r="C21" s="380">
        <f>[12]BS17A!$D22</f>
        <v>0</v>
      </c>
      <c r="D21" s="270">
        <f>[12]BS17A!$U22</f>
        <v>8460</v>
      </c>
      <c r="E21" s="271">
        <f>[12]BS17A!$V22</f>
        <v>0</v>
      </c>
      <c r="F21" s="262"/>
    </row>
    <row r="22" spans="1:6" s="501" customFormat="1" ht="32.25" customHeight="1" x14ac:dyDescent="0.2">
      <c r="A22" s="435" t="s">
        <v>30</v>
      </c>
      <c r="B22" s="485" t="s">
        <v>31</v>
      </c>
      <c r="C22" s="380">
        <f>[12]BS17A!$D23</f>
        <v>1730</v>
      </c>
      <c r="D22" s="270">
        <f>[12]BS17A!$U23</f>
        <v>5690</v>
      </c>
      <c r="E22" s="271">
        <f>[12]BS17A!$V23</f>
        <v>9843700</v>
      </c>
      <c r="F22" s="262"/>
    </row>
    <row r="23" spans="1:6" s="501" customFormat="1" ht="40.5" customHeight="1" x14ac:dyDescent="0.2">
      <c r="A23" s="435" t="s">
        <v>32</v>
      </c>
      <c r="B23" s="485" t="s">
        <v>33</v>
      </c>
      <c r="C23" s="380">
        <f>[12]BS17A!$D24</f>
        <v>1016</v>
      </c>
      <c r="D23" s="270">
        <f>[12]BS17A!$U24</f>
        <v>6820</v>
      </c>
      <c r="E23" s="271">
        <f>[12]BS17A!$V24</f>
        <v>6929120</v>
      </c>
      <c r="F23" s="262"/>
    </row>
    <row r="24" spans="1:6" s="501" customFormat="1" ht="27" customHeight="1" x14ac:dyDescent="0.2">
      <c r="A24" s="435" t="s">
        <v>34</v>
      </c>
      <c r="B24" s="485" t="s">
        <v>35</v>
      </c>
      <c r="C24" s="380">
        <f>[12]BS17A!$D25</f>
        <v>2146</v>
      </c>
      <c r="D24" s="270">
        <f>[12]BS17A!$U25</f>
        <v>8460</v>
      </c>
      <c r="E24" s="271">
        <f>[12]BS17A!$V25</f>
        <v>18155160</v>
      </c>
      <c r="F24" s="262"/>
    </row>
    <row r="25" spans="1:6" s="501" customFormat="1" ht="15" customHeight="1" x14ac:dyDescent="0.2">
      <c r="A25" s="435" t="s">
        <v>36</v>
      </c>
      <c r="B25" s="430" t="s">
        <v>37</v>
      </c>
      <c r="C25" s="380">
        <f>+[12]BS17A!$D795</f>
        <v>149</v>
      </c>
      <c r="D25" s="270">
        <f>+[12]BS17A!$U795</f>
        <v>6900</v>
      </c>
      <c r="E25" s="271">
        <f>+[12]BS17A!$V795</f>
        <v>1028100</v>
      </c>
      <c r="F25" s="262"/>
    </row>
    <row r="26" spans="1:6" s="501" customFormat="1" ht="15" customHeight="1" x14ac:dyDescent="0.2">
      <c r="A26" s="436" t="s">
        <v>38</v>
      </c>
      <c r="B26" s="450" t="s">
        <v>39</v>
      </c>
      <c r="C26" s="395">
        <f>+[12]BS17A!$D800</f>
        <v>0</v>
      </c>
      <c r="D26" s="272">
        <f>+[12]BS17A!$U800</f>
        <v>28580</v>
      </c>
      <c r="E26" s="273">
        <f>+[12]BS17A!$V800</f>
        <v>0</v>
      </c>
      <c r="F26" s="262"/>
    </row>
    <row r="27" spans="1:6" s="501" customFormat="1" ht="18" customHeight="1" x14ac:dyDescent="0.2">
      <c r="A27" s="586" t="s">
        <v>40</v>
      </c>
      <c r="B27" s="587"/>
      <c r="C27" s="587"/>
      <c r="D27" s="587"/>
      <c r="E27" s="588"/>
      <c r="F27" s="262"/>
    </row>
    <row r="28" spans="1:6" s="501" customFormat="1" ht="15" customHeight="1" x14ac:dyDescent="0.2">
      <c r="A28" s="434" t="s">
        <v>41</v>
      </c>
      <c r="B28" s="443" t="s">
        <v>42</v>
      </c>
      <c r="C28" s="383">
        <f>[12]BS17A!$D27</f>
        <v>1462</v>
      </c>
      <c r="D28" s="267">
        <f>[12]BS17A!$U27</f>
        <v>1110</v>
      </c>
      <c r="E28" s="268">
        <f>[12]BS17A!$V27</f>
        <v>1622820</v>
      </c>
      <c r="F28" s="262"/>
    </row>
    <row r="29" spans="1:6" s="501" customFormat="1" ht="15" customHeight="1" x14ac:dyDescent="0.2">
      <c r="A29" s="435" t="s">
        <v>43</v>
      </c>
      <c r="B29" s="449" t="s">
        <v>44</v>
      </c>
      <c r="C29" s="380">
        <f>[12]BS17A!$D28</f>
        <v>0</v>
      </c>
      <c r="D29" s="270">
        <f>[12]BS17A!$U28</f>
        <v>1900</v>
      </c>
      <c r="E29" s="271">
        <f>[12]BS17A!$V28</f>
        <v>0</v>
      </c>
      <c r="F29" s="262"/>
    </row>
    <row r="30" spans="1:6" s="501" customFormat="1" ht="15" customHeight="1" x14ac:dyDescent="0.2">
      <c r="A30" s="435" t="s">
        <v>45</v>
      </c>
      <c r="B30" s="431" t="s">
        <v>46</v>
      </c>
      <c r="C30" s="380">
        <f>[12]BS17A!$D29</f>
        <v>0</v>
      </c>
      <c r="D30" s="270">
        <f>[12]BS17A!$U29</f>
        <v>610</v>
      </c>
      <c r="E30" s="271">
        <f>[12]BS17A!$V29</f>
        <v>0</v>
      </c>
      <c r="F30" s="262"/>
    </row>
    <row r="31" spans="1:6" s="501" customFormat="1" ht="15" customHeight="1" x14ac:dyDescent="0.2">
      <c r="A31" s="435" t="s">
        <v>47</v>
      </c>
      <c r="B31" s="431" t="s">
        <v>48</v>
      </c>
      <c r="C31" s="380">
        <f>[12]BS17A!$D30</f>
        <v>52</v>
      </c>
      <c r="D31" s="270">
        <f>[12]BS17A!$U30</f>
        <v>1500</v>
      </c>
      <c r="E31" s="271">
        <f>[12]BS17A!$V30</f>
        <v>78000</v>
      </c>
      <c r="F31" s="262"/>
    </row>
    <row r="32" spans="1:6" s="501" customFormat="1" ht="15" customHeight="1" x14ac:dyDescent="0.2">
      <c r="A32" s="435" t="s">
        <v>49</v>
      </c>
      <c r="B32" s="431" t="s">
        <v>50</v>
      </c>
      <c r="C32" s="380">
        <f>[12]BS17A!$D31</f>
        <v>1094</v>
      </c>
      <c r="D32" s="270">
        <f>[12]BS17A!$U31</f>
        <v>1210</v>
      </c>
      <c r="E32" s="271">
        <f>[12]BS17A!$V31</f>
        <v>1323740</v>
      </c>
      <c r="F32" s="262"/>
    </row>
    <row r="33" spans="1:6" s="501" customFormat="1" ht="15" customHeight="1" x14ac:dyDescent="0.2">
      <c r="A33" s="435" t="s">
        <v>51</v>
      </c>
      <c r="B33" s="449" t="s">
        <v>52</v>
      </c>
      <c r="C33" s="380">
        <f>[12]BS17A!$D32</f>
        <v>0</v>
      </c>
      <c r="D33" s="270">
        <f>[12]BS17A!$U32</f>
        <v>1110</v>
      </c>
      <c r="E33" s="271">
        <f>[12]BS17A!$V32</f>
        <v>0</v>
      </c>
      <c r="F33" s="262"/>
    </row>
    <row r="34" spans="1:6" s="501" customFormat="1" ht="15" customHeight="1" x14ac:dyDescent="0.2">
      <c r="A34" s="435" t="s">
        <v>53</v>
      </c>
      <c r="B34" s="431" t="s">
        <v>54</v>
      </c>
      <c r="C34" s="380">
        <f>+[12]BS17A!$D796</f>
        <v>309</v>
      </c>
      <c r="D34" s="270">
        <f>+[12]BS17A!$U796</f>
        <v>2700</v>
      </c>
      <c r="E34" s="271">
        <f>+[12]BS17A!$V796</f>
        <v>834300</v>
      </c>
      <c r="F34" s="262"/>
    </row>
    <row r="35" spans="1:6" s="501" customFormat="1" ht="15" customHeight="1" x14ac:dyDescent="0.2">
      <c r="A35" s="435" t="s">
        <v>55</v>
      </c>
      <c r="B35" s="449" t="s">
        <v>56</v>
      </c>
      <c r="C35" s="380">
        <f>+[12]BS17A!$D797</f>
        <v>382</v>
      </c>
      <c r="D35" s="270">
        <f>+[12]BS17A!$U797</f>
        <v>2700</v>
      </c>
      <c r="E35" s="271">
        <f>+[12]BS17A!$V797</f>
        <v>1031400</v>
      </c>
      <c r="F35" s="262"/>
    </row>
    <row r="36" spans="1:6" s="501" customFormat="1" ht="15" customHeight="1" x14ac:dyDescent="0.2">
      <c r="A36" s="435" t="s">
        <v>57</v>
      </c>
      <c r="B36" s="449" t="s">
        <v>58</v>
      </c>
      <c r="C36" s="380">
        <f>+[12]BS17A!$D798</f>
        <v>3</v>
      </c>
      <c r="D36" s="270">
        <f>+[12]BS17A!$U798</f>
        <v>10760</v>
      </c>
      <c r="E36" s="271">
        <f>+[12]BS17A!$V798</f>
        <v>32280</v>
      </c>
      <c r="F36" s="262"/>
    </row>
    <row r="37" spans="1:6" s="501" customFormat="1" ht="15" customHeight="1" x14ac:dyDescent="0.2">
      <c r="A37" s="436" t="s">
        <v>59</v>
      </c>
      <c r="B37" s="484" t="s">
        <v>60</v>
      </c>
      <c r="C37" s="395">
        <f>+[12]BS17A!$D799</f>
        <v>8</v>
      </c>
      <c r="D37" s="272">
        <f>+[12]BS17A!$U799</f>
        <v>12600</v>
      </c>
      <c r="E37" s="273">
        <f>+[12]BS17A!$V799</f>
        <v>100800</v>
      </c>
      <c r="F37" s="262"/>
    </row>
    <row r="38" spans="1:6" s="501" customFormat="1" ht="18" customHeight="1" x14ac:dyDescent="0.2">
      <c r="A38" s="591" t="s">
        <v>61</v>
      </c>
      <c r="B38" s="592"/>
      <c r="C38" s="592"/>
      <c r="D38" s="592"/>
      <c r="E38" s="593"/>
      <c r="F38" s="262"/>
    </row>
    <row r="39" spans="1:6" s="501" customFormat="1" ht="15" customHeight="1" x14ac:dyDescent="0.2">
      <c r="A39" s="434" t="s">
        <v>62</v>
      </c>
      <c r="B39" s="429" t="s">
        <v>63</v>
      </c>
      <c r="C39" s="383">
        <f>+[12]BS17A!$D801</f>
        <v>0</v>
      </c>
      <c r="D39" s="275">
        <f>+[12]BS17A!$U801</f>
        <v>3550</v>
      </c>
      <c r="E39" s="276">
        <f>+[12]BS17A!$V801</f>
        <v>0</v>
      </c>
      <c r="F39" s="262"/>
    </row>
    <row r="40" spans="1:6" s="501" customFormat="1" ht="15" customHeight="1" x14ac:dyDescent="0.2">
      <c r="A40" s="436" t="s">
        <v>64</v>
      </c>
      <c r="B40" s="444" t="s">
        <v>65</v>
      </c>
      <c r="C40" s="395">
        <f>+[12]BS17A!$D802</f>
        <v>0</v>
      </c>
      <c r="D40" s="277">
        <f>+[12]BS17A!$U802</f>
        <v>9180</v>
      </c>
      <c r="E40" s="278">
        <f>+[12]BS17A!$V802</f>
        <v>0</v>
      </c>
      <c r="F40" s="262"/>
    </row>
    <row r="41" spans="1:6" s="501" customFormat="1" ht="18" customHeight="1" x14ac:dyDescent="0.2">
      <c r="A41" s="591" t="s">
        <v>66</v>
      </c>
      <c r="B41" s="592"/>
      <c r="C41" s="592"/>
      <c r="D41" s="592"/>
      <c r="E41" s="593"/>
      <c r="F41" s="262"/>
    </row>
    <row r="42" spans="1:6" s="501" customFormat="1" ht="15" customHeight="1" x14ac:dyDescent="0.2">
      <c r="A42" s="434" t="s">
        <v>67</v>
      </c>
      <c r="B42" s="451" t="s">
        <v>68</v>
      </c>
      <c r="C42" s="383">
        <f>+[12]BS17A!$D34</f>
        <v>12</v>
      </c>
      <c r="D42" s="275">
        <f>+[12]BS17A!$U34</f>
        <v>3640</v>
      </c>
      <c r="E42" s="276">
        <f>+[12]BS17A!$V34</f>
        <v>43680</v>
      </c>
      <c r="F42" s="262"/>
    </row>
    <row r="43" spans="1:6" s="501" customFormat="1" ht="15" customHeight="1" x14ac:dyDescent="0.2">
      <c r="A43" s="435" t="s">
        <v>69</v>
      </c>
      <c r="B43" s="431" t="s">
        <v>70</v>
      </c>
      <c r="C43" s="380">
        <f>+[12]BS17A!$D35</f>
        <v>720</v>
      </c>
      <c r="D43" s="270">
        <f>+[12]BS17A!$U35</f>
        <v>2000</v>
      </c>
      <c r="E43" s="271">
        <f>+[12]BS17A!$V35</f>
        <v>1440000</v>
      </c>
      <c r="F43" s="262"/>
    </row>
    <row r="44" spans="1:6" s="501" customFormat="1" ht="15" customHeight="1" x14ac:dyDescent="0.2">
      <c r="A44" s="435" t="s">
        <v>71</v>
      </c>
      <c r="B44" s="431" t="s">
        <v>72</v>
      </c>
      <c r="C44" s="380">
        <f>+[12]BS17A!$D36</f>
        <v>0</v>
      </c>
      <c r="D44" s="270">
        <f>+[12]BS17A!$U36</f>
        <v>2000</v>
      </c>
      <c r="E44" s="271">
        <f>+[12]BS17A!$V36</f>
        <v>0</v>
      </c>
      <c r="F44" s="262"/>
    </row>
    <row r="45" spans="1:6" s="501" customFormat="1" ht="15" customHeight="1" x14ac:dyDescent="0.2">
      <c r="A45" s="436" t="s">
        <v>73</v>
      </c>
      <c r="B45" s="432" t="s">
        <v>74</v>
      </c>
      <c r="C45" s="395">
        <f>+[12]BS17A!$D37</f>
        <v>618</v>
      </c>
      <c r="D45" s="277">
        <f>+[12]BS17A!$U37</f>
        <v>610</v>
      </c>
      <c r="E45" s="278">
        <f>+[12]BS17A!$V37</f>
        <v>376980</v>
      </c>
      <c r="F45" s="262"/>
    </row>
    <row r="46" spans="1:6" s="501" customFormat="1" ht="18" customHeight="1" x14ac:dyDescent="0.2">
      <c r="A46" s="591" t="s">
        <v>75</v>
      </c>
      <c r="B46" s="592"/>
      <c r="C46" s="592"/>
      <c r="D46" s="592"/>
      <c r="E46" s="593"/>
      <c r="F46" s="262"/>
    </row>
    <row r="47" spans="1:6" s="501" customFormat="1" ht="15" customHeight="1" x14ac:dyDescent="0.2">
      <c r="A47" s="434" t="s">
        <v>76</v>
      </c>
      <c r="B47" s="451" t="s">
        <v>77</v>
      </c>
      <c r="C47" s="383">
        <f>+[12]BS17A!$D39</f>
        <v>0</v>
      </c>
      <c r="D47" s="275">
        <f>+[12]BS17A!$U39</f>
        <v>1730</v>
      </c>
      <c r="E47" s="276">
        <f>+[12]BS17A!$V39</f>
        <v>0</v>
      </c>
      <c r="F47" s="262"/>
    </row>
    <row r="48" spans="1:6" s="501" customFormat="1" ht="15" customHeight="1" x14ac:dyDescent="0.2">
      <c r="A48" s="435" t="s">
        <v>78</v>
      </c>
      <c r="B48" s="431" t="s">
        <v>79</v>
      </c>
      <c r="C48" s="380">
        <f>+[12]BS17A!$D40</f>
        <v>27</v>
      </c>
      <c r="D48" s="270">
        <f>+[12]BS17A!$U40</f>
        <v>1730</v>
      </c>
      <c r="E48" s="271">
        <f>+[12]BS17A!$V40</f>
        <v>46710</v>
      </c>
      <c r="F48" s="262"/>
    </row>
    <row r="49" spans="1:7" s="501" customFormat="1" ht="15" customHeight="1" x14ac:dyDescent="0.2">
      <c r="A49" s="436" t="s">
        <v>80</v>
      </c>
      <c r="B49" s="432" t="s">
        <v>81</v>
      </c>
      <c r="C49" s="395">
        <f>+[12]BS17A!$D41</f>
        <v>0</v>
      </c>
      <c r="D49" s="277">
        <f>+[12]BS17A!$U41</f>
        <v>1000</v>
      </c>
      <c r="E49" s="278">
        <f>+[12]BS17A!$V41</f>
        <v>0</v>
      </c>
      <c r="F49" s="262"/>
    </row>
    <row r="50" spans="1:7" s="501" customFormat="1" ht="18" customHeight="1" x14ac:dyDescent="0.2">
      <c r="A50" s="279"/>
      <c r="B50" s="411" t="s">
        <v>82</v>
      </c>
      <c r="C50" s="279">
        <f>SUM(C14:C49)</f>
        <v>16035</v>
      </c>
      <c r="D50" s="280"/>
      <c r="E50" s="281">
        <f>SUM(E14:E49)</f>
        <v>113840540</v>
      </c>
      <c r="F50" s="262"/>
    </row>
    <row r="51" spans="1:7" s="501" customFormat="1" ht="18" customHeight="1" x14ac:dyDescent="0.2">
      <c r="A51" s="282"/>
      <c r="B51" s="282"/>
      <c r="C51" s="282"/>
      <c r="D51" s="283"/>
      <c r="E51" s="284"/>
      <c r="F51" s="262"/>
    </row>
    <row r="52" spans="1:7" s="501" customFormat="1" ht="12.75" x14ac:dyDescent="0.2">
      <c r="A52" s="262"/>
      <c r="B52" s="262"/>
      <c r="C52" s="262"/>
      <c r="D52" s="262"/>
      <c r="E52" s="262"/>
      <c r="F52" s="285"/>
      <c r="G52" s="286"/>
    </row>
    <row r="53" spans="1:7" s="501" customFormat="1" ht="12.75" x14ac:dyDescent="0.2">
      <c r="A53" s="591" t="s">
        <v>83</v>
      </c>
      <c r="B53" s="592"/>
      <c r="C53" s="592"/>
      <c r="D53" s="592"/>
      <c r="E53" s="593"/>
      <c r="F53" s="285"/>
      <c r="G53" s="286"/>
    </row>
    <row r="54" spans="1:7" s="501" customFormat="1" ht="42.75" customHeight="1" x14ac:dyDescent="0.2">
      <c r="A54" s="264" t="s">
        <v>8</v>
      </c>
      <c r="B54" s="264" t="s">
        <v>84</v>
      </c>
      <c r="C54" s="535" t="s">
        <v>10</v>
      </c>
      <c r="D54" s="311"/>
      <c r="E54" s="537" t="s">
        <v>12</v>
      </c>
      <c r="F54" s="262"/>
    </row>
    <row r="55" spans="1:7" s="501" customFormat="1" ht="18" customHeight="1" x14ac:dyDescent="0.2">
      <c r="A55" s="538" t="s">
        <v>85</v>
      </c>
      <c r="B55" s="474" t="s">
        <v>86</v>
      </c>
      <c r="C55" s="316">
        <f>+[12]BS17!$D12</f>
        <v>54135</v>
      </c>
      <c r="D55" s="288"/>
      <c r="E55" s="289">
        <f>+E56+E57+E58+E59+E60+E61+E65+E66+E67</f>
        <v>73141700</v>
      </c>
      <c r="F55" s="262"/>
    </row>
    <row r="56" spans="1:7" s="501" customFormat="1" ht="15" customHeight="1" x14ac:dyDescent="0.2">
      <c r="A56" s="472" t="s">
        <v>87</v>
      </c>
      <c r="B56" s="443" t="s">
        <v>88</v>
      </c>
      <c r="C56" s="426">
        <f>+[12]BS17!$D13</f>
        <v>22127</v>
      </c>
      <c r="D56" s="290"/>
      <c r="E56" s="291">
        <f>+[12]BS17A!V83</f>
        <v>21864930</v>
      </c>
      <c r="F56" s="262"/>
    </row>
    <row r="57" spans="1:7" s="501" customFormat="1" ht="15" customHeight="1" x14ac:dyDescent="0.2">
      <c r="A57" s="435" t="s">
        <v>89</v>
      </c>
      <c r="B57" s="430" t="s">
        <v>90</v>
      </c>
      <c r="C57" s="380">
        <f>+[12]BS17!$D14</f>
        <v>22860</v>
      </c>
      <c r="D57" s="293"/>
      <c r="E57" s="294">
        <f>+[12]BS17A!V174</f>
        <v>27421310</v>
      </c>
      <c r="F57" s="262"/>
    </row>
    <row r="58" spans="1:7" s="501" customFormat="1" ht="15" customHeight="1" x14ac:dyDescent="0.2">
      <c r="A58" s="435" t="s">
        <v>91</v>
      </c>
      <c r="B58" s="430" t="s">
        <v>92</v>
      </c>
      <c r="C58" s="380">
        <f>+[12]BS17!$D15</f>
        <v>834</v>
      </c>
      <c r="D58" s="293"/>
      <c r="E58" s="294">
        <f>+[12]BS17A!V243</f>
        <v>2899740</v>
      </c>
      <c r="F58" s="262"/>
    </row>
    <row r="59" spans="1:7" s="501" customFormat="1" ht="15" customHeight="1" x14ac:dyDescent="0.2">
      <c r="A59" s="435" t="s">
        <v>93</v>
      </c>
      <c r="B59" s="430" t="s">
        <v>94</v>
      </c>
      <c r="C59" s="380">
        <f>+[12]BS17!$D16</f>
        <v>0</v>
      </c>
      <c r="D59" s="293"/>
      <c r="E59" s="294">
        <f>+[12]BS17A!V289</f>
        <v>0</v>
      </c>
      <c r="F59" s="262"/>
    </row>
    <row r="60" spans="1:7" s="501" customFormat="1" ht="15" customHeight="1" x14ac:dyDescent="0.2">
      <c r="A60" s="467" t="s">
        <v>95</v>
      </c>
      <c r="B60" s="450" t="s">
        <v>96</v>
      </c>
      <c r="C60" s="410">
        <f>+[12]BS17!$D17</f>
        <v>1383</v>
      </c>
      <c r="D60" s="295"/>
      <c r="E60" s="296">
        <f>+[12]BS17A!V295</f>
        <v>6464650</v>
      </c>
      <c r="F60" s="262"/>
    </row>
    <row r="61" spans="1:7" s="501" customFormat="1" ht="15" customHeight="1" x14ac:dyDescent="0.2">
      <c r="A61" s="434" t="s">
        <v>97</v>
      </c>
      <c r="B61" s="475" t="s">
        <v>98</v>
      </c>
      <c r="C61" s="412">
        <f>+[12]BS17!$D18</f>
        <v>4324</v>
      </c>
      <c r="D61" s="297"/>
      <c r="E61" s="298">
        <f>SUM(E62:E64)</f>
        <v>11204560</v>
      </c>
      <c r="F61" s="262"/>
    </row>
    <row r="62" spans="1:7" s="501" customFormat="1" ht="15" customHeight="1" x14ac:dyDescent="0.2">
      <c r="A62" s="478"/>
      <c r="B62" s="451" t="s">
        <v>99</v>
      </c>
      <c r="C62" s="383">
        <f>+[12]BS17!$D19</f>
        <v>3529</v>
      </c>
      <c r="D62" s="299"/>
      <c r="E62" s="300">
        <f>+[12]BS17A!V362</f>
        <v>8067840</v>
      </c>
      <c r="F62" s="262"/>
    </row>
    <row r="63" spans="1:7" s="501" customFormat="1" ht="15" customHeight="1" x14ac:dyDescent="0.2">
      <c r="A63" s="478"/>
      <c r="B63" s="430" t="s">
        <v>100</v>
      </c>
      <c r="C63" s="380">
        <f>+[12]BS17!$D20</f>
        <v>53</v>
      </c>
      <c r="D63" s="293"/>
      <c r="E63" s="294">
        <f>+[12]BS17A!V405</f>
        <v>147540</v>
      </c>
      <c r="F63" s="262"/>
    </row>
    <row r="64" spans="1:7" s="501" customFormat="1" ht="15" customHeight="1" x14ac:dyDescent="0.2">
      <c r="A64" s="479"/>
      <c r="B64" s="432" t="s">
        <v>101</v>
      </c>
      <c r="C64" s="395">
        <f>+[12]BS17!$D21</f>
        <v>742</v>
      </c>
      <c r="D64" s="301"/>
      <c r="E64" s="302">
        <f>+[12]BS17A!V428</f>
        <v>2989180</v>
      </c>
      <c r="F64" s="262"/>
    </row>
    <row r="65" spans="1:7" s="501" customFormat="1" ht="15" customHeight="1" x14ac:dyDescent="0.2">
      <c r="A65" s="472" t="s">
        <v>102</v>
      </c>
      <c r="B65" s="471" t="s">
        <v>103</v>
      </c>
      <c r="C65" s="426">
        <f>+[12]BS17!$D22</f>
        <v>0</v>
      </c>
      <c r="D65" s="290"/>
      <c r="E65" s="291">
        <f>+[12]BS17A!V446</f>
        <v>0</v>
      </c>
      <c r="F65" s="262"/>
    </row>
    <row r="66" spans="1:7" s="501" customFormat="1" ht="15" customHeight="1" x14ac:dyDescent="0.2">
      <c r="A66" s="435" t="s">
        <v>104</v>
      </c>
      <c r="B66" s="430" t="s">
        <v>105</v>
      </c>
      <c r="C66" s="380">
        <f>+[12]BS17!$D23</f>
        <v>65</v>
      </c>
      <c r="D66" s="293"/>
      <c r="E66" s="294">
        <f>+[12]BS17A!V456</f>
        <v>138810</v>
      </c>
      <c r="F66" s="262"/>
    </row>
    <row r="67" spans="1:7" s="501" customFormat="1" ht="15" customHeight="1" x14ac:dyDescent="0.2">
      <c r="A67" s="467" t="s">
        <v>106</v>
      </c>
      <c r="B67" s="450" t="s">
        <v>107</v>
      </c>
      <c r="C67" s="410">
        <f>+[12]BS17!$D24</f>
        <v>2542</v>
      </c>
      <c r="D67" s="295"/>
      <c r="E67" s="296">
        <f>+[12]BS17A!V500</f>
        <v>3147700</v>
      </c>
      <c r="F67" s="262"/>
    </row>
    <row r="68" spans="1:7" s="501" customFormat="1" ht="15" customHeight="1" x14ac:dyDescent="0.2">
      <c r="A68" s="480" t="s">
        <v>108</v>
      </c>
      <c r="B68" s="470" t="s">
        <v>109</v>
      </c>
      <c r="C68" s="427">
        <f>+[12]BS17!$D25</f>
        <v>3910</v>
      </c>
      <c r="D68" s="303"/>
      <c r="E68" s="304">
        <f>SUM(E69:E74)</f>
        <v>64733040</v>
      </c>
      <c r="F68" s="262"/>
    </row>
    <row r="69" spans="1:7" s="501" customFormat="1" ht="15" customHeight="1" x14ac:dyDescent="0.2">
      <c r="A69" s="435" t="s">
        <v>110</v>
      </c>
      <c r="B69" s="430" t="s">
        <v>111</v>
      </c>
      <c r="C69" s="380">
        <f>+[12]BS17!$D26</f>
        <v>2276</v>
      </c>
      <c r="D69" s="293"/>
      <c r="E69" s="294">
        <f>+[12]BS17A!V535</f>
        <v>18200650</v>
      </c>
      <c r="F69" s="262"/>
    </row>
    <row r="70" spans="1:7" s="501" customFormat="1" ht="15" customHeight="1" x14ac:dyDescent="0.2">
      <c r="A70" s="435" t="s">
        <v>112</v>
      </c>
      <c r="B70" s="430" t="s">
        <v>113</v>
      </c>
      <c r="C70" s="380">
        <f>+[12]BS17!$D27</f>
        <v>1</v>
      </c>
      <c r="D70" s="293"/>
      <c r="E70" s="294">
        <f>+[12]BS17A!V590</f>
        <v>23290</v>
      </c>
      <c r="F70" s="262"/>
    </row>
    <row r="71" spans="1:7" s="501" customFormat="1" ht="15" customHeight="1" x14ac:dyDescent="0.2">
      <c r="A71" s="435" t="s">
        <v>114</v>
      </c>
      <c r="B71" s="430" t="s">
        <v>115</v>
      </c>
      <c r="C71" s="380">
        <f>+[12]BS17!$D28</f>
        <v>689</v>
      </c>
      <c r="D71" s="293"/>
      <c r="E71" s="294">
        <f>+[12]BS17A!V615</f>
        <v>34366770</v>
      </c>
      <c r="F71" s="262"/>
    </row>
    <row r="72" spans="1:7" s="501" customFormat="1" ht="15" customHeight="1" x14ac:dyDescent="0.2">
      <c r="A72" s="435" t="s">
        <v>116</v>
      </c>
      <c r="B72" s="430" t="s">
        <v>117</v>
      </c>
      <c r="C72" s="380">
        <f>+[12]BS17!$D30+[12]BS17!$D32</f>
        <v>839</v>
      </c>
      <c r="D72" s="293"/>
      <c r="E72" s="294">
        <f>+[12]BS17A!V633-[12]BS17A!V634</f>
        <v>11607880</v>
      </c>
      <c r="F72" s="262"/>
    </row>
    <row r="73" spans="1:7" s="501" customFormat="1" ht="15" customHeight="1" x14ac:dyDescent="0.2">
      <c r="A73" s="481"/>
      <c r="B73" s="430" t="s">
        <v>118</v>
      </c>
      <c r="C73" s="380">
        <f>+[12]BS17!$D31</f>
        <v>105</v>
      </c>
      <c r="D73" s="293"/>
      <c r="E73" s="294">
        <f>+[12]BS17A!V634</f>
        <v>534450</v>
      </c>
      <c r="F73" s="262"/>
    </row>
    <row r="74" spans="1:7" s="501" customFormat="1" ht="15" customHeight="1" x14ac:dyDescent="0.2">
      <c r="A74" s="482" t="s">
        <v>119</v>
      </c>
      <c r="B74" s="476" t="s">
        <v>120</v>
      </c>
      <c r="C74" s="417">
        <f>+[12]BS17!$D33</f>
        <v>0</v>
      </c>
      <c r="D74" s="389"/>
      <c r="E74" s="390">
        <f>+[12]BS17A!V654</f>
        <v>0</v>
      </c>
      <c r="F74" s="262"/>
    </row>
    <row r="75" spans="1:7" s="501" customFormat="1" ht="15" customHeight="1" x14ac:dyDescent="0.2">
      <c r="A75" s="483" t="s">
        <v>121</v>
      </c>
      <c r="B75" s="477" t="s">
        <v>122</v>
      </c>
      <c r="C75" s="428">
        <f>+[12]BS17!$D34</f>
        <v>0</v>
      </c>
      <c r="D75" s="305"/>
      <c r="E75" s="306">
        <f>+[12]BS17A!V783</f>
        <v>0</v>
      </c>
      <c r="F75" s="262"/>
    </row>
    <row r="76" spans="1:7" s="501" customFormat="1" ht="15" customHeight="1" x14ac:dyDescent="0.2">
      <c r="A76" s="437"/>
      <c r="B76" s="539" t="s">
        <v>123</v>
      </c>
      <c r="C76" s="316">
        <f>+C55+C68+C75</f>
        <v>58045</v>
      </c>
      <c r="D76" s="288"/>
      <c r="E76" s="308">
        <f>+E55+E68+E75</f>
        <v>137874740</v>
      </c>
      <c r="F76" s="262"/>
    </row>
    <row r="77" spans="1:7" s="501" customFormat="1" ht="12.75" x14ac:dyDescent="0.2">
      <c r="A77" s="262"/>
      <c r="B77" s="262"/>
      <c r="C77" s="262"/>
      <c r="D77" s="262"/>
      <c r="E77" s="262"/>
      <c r="F77" s="285"/>
      <c r="G77" s="286"/>
    </row>
    <row r="78" spans="1:7" s="501" customFormat="1" ht="12.75" x14ac:dyDescent="0.2">
      <c r="A78" s="262"/>
      <c r="B78" s="262"/>
      <c r="C78" s="262"/>
      <c r="D78" s="262"/>
      <c r="E78" s="262"/>
      <c r="F78" s="285"/>
      <c r="G78" s="286"/>
    </row>
    <row r="79" spans="1:7" s="501" customFormat="1" ht="12.75" x14ac:dyDescent="0.2">
      <c r="A79" s="583" t="s">
        <v>124</v>
      </c>
      <c r="B79" s="584"/>
      <c r="C79" s="584"/>
      <c r="D79" s="584"/>
      <c r="E79" s="585"/>
      <c r="F79" s="285"/>
      <c r="G79" s="286"/>
    </row>
    <row r="80" spans="1:7" s="501" customFormat="1" ht="45" customHeight="1" x14ac:dyDescent="0.2">
      <c r="A80" s="264" t="s">
        <v>8</v>
      </c>
      <c r="B80" s="536" t="s">
        <v>9</v>
      </c>
      <c r="C80" s="309" t="s">
        <v>10</v>
      </c>
      <c r="D80" s="311"/>
      <c r="E80" s="312" t="s">
        <v>12</v>
      </c>
      <c r="F80" s="285"/>
      <c r="G80" s="286"/>
    </row>
    <row r="81" spans="1:6" s="501" customFormat="1" ht="15" customHeight="1" x14ac:dyDescent="0.2">
      <c r="A81" s="473" t="s">
        <v>125</v>
      </c>
      <c r="B81" s="443" t="s">
        <v>126</v>
      </c>
      <c r="C81" s="383">
        <f>+[12]BS17!D49</f>
        <v>0</v>
      </c>
      <c r="D81" s="290"/>
      <c r="E81" s="313">
        <f>+SUM([12]BS17A!V673+[12]BS17A!V719)</f>
        <v>0</v>
      </c>
      <c r="F81" s="262"/>
    </row>
    <row r="82" spans="1:6" s="501" customFormat="1" ht="15" customHeight="1" x14ac:dyDescent="0.2">
      <c r="A82" s="457">
        <v>2001</v>
      </c>
      <c r="B82" s="430" t="s">
        <v>127</v>
      </c>
      <c r="C82" s="380">
        <f>+[12]BS17!E130</f>
        <v>1153</v>
      </c>
      <c r="D82" s="293"/>
      <c r="E82" s="314">
        <f>+[12]BS17A!V1574</f>
        <v>9900080</v>
      </c>
      <c r="F82" s="262"/>
    </row>
    <row r="83" spans="1:6" s="501" customFormat="1" ht="15" customHeight="1" x14ac:dyDescent="0.2">
      <c r="A83" s="467" t="s">
        <v>128</v>
      </c>
      <c r="B83" s="450" t="s">
        <v>129</v>
      </c>
      <c r="C83" s="410">
        <f>+[12]BS17A!D1849</f>
        <v>25</v>
      </c>
      <c r="D83" s="295"/>
      <c r="E83" s="315">
        <f>+[12]BS17A!V1849</f>
        <v>1722380</v>
      </c>
      <c r="F83" s="262"/>
    </row>
    <row r="84" spans="1:6" s="501" customFormat="1" ht="17.25" customHeight="1" x14ac:dyDescent="0.2">
      <c r="A84" s="437"/>
      <c r="B84" s="539" t="s">
        <v>130</v>
      </c>
      <c r="C84" s="316">
        <f>+SUM(C81:C83)</f>
        <v>1178</v>
      </c>
      <c r="D84" s="288"/>
      <c r="E84" s="317">
        <f>SUM(E81:E83)</f>
        <v>11622460</v>
      </c>
      <c r="F84" s="262"/>
    </row>
    <row r="85" spans="1:6" s="501" customFormat="1" ht="12.75" x14ac:dyDescent="0.2">
      <c r="A85" s="262"/>
      <c r="B85" s="262"/>
      <c r="C85" s="262"/>
      <c r="D85" s="262"/>
      <c r="E85" s="262"/>
      <c r="F85" s="262"/>
    </row>
    <row r="86" spans="1:6" s="501" customFormat="1" ht="12.75" x14ac:dyDescent="0.2">
      <c r="A86" s="262"/>
      <c r="B86" s="262"/>
      <c r="C86" s="262"/>
      <c r="D86" s="262"/>
      <c r="E86" s="262"/>
      <c r="F86" s="259"/>
    </row>
    <row r="87" spans="1:6" s="501" customFormat="1" ht="12.75" x14ac:dyDescent="0.15">
      <c r="A87" s="597" t="s">
        <v>131</v>
      </c>
      <c r="B87" s="598"/>
      <c r="C87" s="598"/>
      <c r="D87" s="598"/>
      <c r="E87" s="598"/>
      <c r="F87" s="599"/>
    </row>
    <row r="88" spans="1:6" s="501" customFormat="1" ht="33.75" customHeight="1" x14ac:dyDescent="0.15">
      <c r="A88" s="611" t="s">
        <v>8</v>
      </c>
      <c r="B88" s="611" t="s">
        <v>9</v>
      </c>
      <c r="C88" s="586" t="s">
        <v>10</v>
      </c>
      <c r="D88" s="587"/>
      <c r="E88" s="587"/>
      <c r="F88" s="588"/>
    </row>
    <row r="89" spans="1:6" s="501" customFormat="1" ht="45" customHeight="1" x14ac:dyDescent="0.15">
      <c r="A89" s="612"/>
      <c r="B89" s="612"/>
      <c r="C89" s="536" t="s">
        <v>132</v>
      </c>
      <c r="D89" s="394" t="s">
        <v>133</v>
      </c>
      <c r="E89" s="310" t="s">
        <v>134</v>
      </c>
      <c r="F89" s="537" t="s">
        <v>12</v>
      </c>
    </row>
    <row r="90" spans="1:6" s="501" customFormat="1" ht="15" customHeight="1" x14ac:dyDescent="0.2">
      <c r="A90" s="434" t="s">
        <v>135</v>
      </c>
      <c r="B90" s="429" t="s">
        <v>136</v>
      </c>
      <c r="C90" s="420">
        <f>+[12]BS17!F68</f>
        <v>4</v>
      </c>
      <c r="D90" s="318">
        <f>+[12]BS17!G68</f>
        <v>0</v>
      </c>
      <c r="E90" s="319">
        <f>+[12]BS17!H68</f>
        <v>0</v>
      </c>
      <c r="F90" s="320">
        <f>[12]BS17A!V811</f>
        <v>597680</v>
      </c>
    </row>
    <row r="91" spans="1:6" s="501" customFormat="1" ht="15" customHeight="1" x14ac:dyDescent="0.2">
      <c r="A91" s="435" t="s">
        <v>137</v>
      </c>
      <c r="B91" s="430" t="s">
        <v>138</v>
      </c>
      <c r="C91" s="421">
        <f>+[12]BS17!F69</f>
        <v>179</v>
      </c>
      <c r="D91" s="321">
        <f>+[12]BS17!G69</f>
        <v>1</v>
      </c>
      <c r="E91" s="322">
        <f>+[12]BS17!H69</f>
        <v>0</v>
      </c>
      <c r="F91" s="323">
        <f>[12]BS17A!V882</f>
        <v>53653210</v>
      </c>
    </row>
    <row r="92" spans="1:6" s="501" customFormat="1" ht="15" customHeight="1" x14ac:dyDescent="0.2">
      <c r="A92" s="435" t="s">
        <v>139</v>
      </c>
      <c r="B92" s="430" t="s">
        <v>140</v>
      </c>
      <c r="C92" s="421">
        <f>+[12]BS17!F70</f>
        <v>16</v>
      </c>
      <c r="D92" s="321">
        <f>+[12]BS17!G70</f>
        <v>1</v>
      </c>
      <c r="E92" s="322">
        <f>+[12]BS17!H70</f>
        <v>0</v>
      </c>
      <c r="F92" s="323">
        <f>[12]BS17A!V961</f>
        <v>2014310</v>
      </c>
    </row>
    <row r="93" spans="1:6" s="501" customFormat="1" ht="15" customHeight="1" x14ac:dyDescent="0.2">
      <c r="A93" s="435" t="s">
        <v>141</v>
      </c>
      <c r="B93" s="430" t="s">
        <v>142</v>
      </c>
      <c r="C93" s="421">
        <f>+[12]BS17!F71</f>
        <v>4</v>
      </c>
      <c r="D93" s="321">
        <f>+[12]BS17!G71</f>
        <v>0</v>
      </c>
      <c r="E93" s="322">
        <f>+[12]BS17!H71</f>
        <v>0</v>
      </c>
      <c r="F93" s="323">
        <f>[12]BS17A!V1037</f>
        <v>654350</v>
      </c>
    </row>
    <row r="94" spans="1:6" s="501" customFormat="1" ht="15" customHeight="1" x14ac:dyDescent="0.2">
      <c r="A94" s="435" t="s">
        <v>143</v>
      </c>
      <c r="B94" s="430" t="s">
        <v>144</v>
      </c>
      <c r="C94" s="421">
        <f>+[12]BS17!F72</f>
        <v>71</v>
      </c>
      <c r="D94" s="321">
        <f>+[12]BS17!G72</f>
        <v>3</v>
      </c>
      <c r="E94" s="322">
        <f>+[12]BS17!H72</f>
        <v>0</v>
      </c>
      <c r="F94" s="323">
        <f>[12]BS17A!V1098</f>
        <v>4030215</v>
      </c>
    </row>
    <row r="95" spans="1:6" s="501" customFormat="1" ht="15" customHeight="1" x14ac:dyDescent="0.2">
      <c r="A95" s="435" t="s">
        <v>145</v>
      </c>
      <c r="B95" s="430" t="s">
        <v>146</v>
      </c>
      <c r="C95" s="421">
        <f>+[12]BS17!F73</f>
        <v>140</v>
      </c>
      <c r="D95" s="321">
        <f>+[12]BS17!G73</f>
        <v>1</v>
      </c>
      <c r="E95" s="322">
        <f>+[12]BS17!H73</f>
        <v>0</v>
      </c>
      <c r="F95" s="323">
        <f>[12]BS17A!V1166</f>
        <v>2619620</v>
      </c>
    </row>
    <row r="96" spans="1:6" s="501" customFormat="1" ht="15" customHeight="1" x14ac:dyDescent="0.2">
      <c r="A96" s="435" t="s">
        <v>147</v>
      </c>
      <c r="B96" s="430" t="s">
        <v>148</v>
      </c>
      <c r="C96" s="421">
        <f>+[12]BS17!F74</f>
        <v>2</v>
      </c>
      <c r="D96" s="321">
        <f>+[12]BS17!G74</f>
        <v>2</v>
      </c>
      <c r="E96" s="322">
        <f>+[12]BS17!H74</f>
        <v>0</v>
      </c>
      <c r="F96" s="323">
        <f>[12]BS17A!V1221</f>
        <v>399210</v>
      </c>
    </row>
    <row r="97" spans="1:6" s="501" customFormat="1" ht="15" customHeight="1" x14ac:dyDescent="0.2">
      <c r="A97" s="435" t="s">
        <v>149</v>
      </c>
      <c r="B97" s="430" t="s">
        <v>150</v>
      </c>
      <c r="C97" s="421">
        <f>+[12]BS17!F75</f>
        <v>5</v>
      </c>
      <c r="D97" s="321">
        <f>+[12]BS17!G75</f>
        <v>4</v>
      </c>
      <c r="E97" s="322">
        <f>+[12]BS17!H75</f>
        <v>0</v>
      </c>
      <c r="F97" s="323">
        <f>[12]BS17A!V1287</f>
        <v>521890</v>
      </c>
    </row>
    <row r="98" spans="1:6" s="501" customFormat="1" ht="15" customHeight="1" x14ac:dyDescent="0.2">
      <c r="A98" s="435" t="s">
        <v>151</v>
      </c>
      <c r="B98" s="430" t="s">
        <v>152</v>
      </c>
      <c r="C98" s="421">
        <f>+[12]BS17!F76</f>
        <v>133</v>
      </c>
      <c r="D98" s="321">
        <f>+[12]BS17!G76</f>
        <v>16</v>
      </c>
      <c r="E98" s="322">
        <f>+[12]BS17!H76</f>
        <v>0</v>
      </c>
      <c r="F98" s="323">
        <f>[12]BS17A!V1357</f>
        <v>33708835</v>
      </c>
    </row>
    <row r="99" spans="1:6" s="501" customFormat="1" ht="15" customHeight="1" x14ac:dyDescent="0.2">
      <c r="A99" s="435" t="s">
        <v>153</v>
      </c>
      <c r="B99" s="430" t="s">
        <v>154</v>
      </c>
      <c r="C99" s="421">
        <f>+[12]BS17!F77</f>
        <v>13</v>
      </c>
      <c r="D99" s="321">
        <f>+[12]BS17!G77</f>
        <v>0</v>
      </c>
      <c r="E99" s="322">
        <f>+[12]BS17!H77</f>
        <v>0</v>
      </c>
      <c r="F99" s="323">
        <f>[12]BS17A!V1441</f>
        <v>1349490</v>
      </c>
    </row>
    <row r="100" spans="1:6" s="501" customFormat="1" ht="15" customHeight="1" x14ac:dyDescent="0.2">
      <c r="A100" s="435" t="s">
        <v>155</v>
      </c>
      <c r="B100" s="430" t="s">
        <v>156</v>
      </c>
      <c r="C100" s="421">
        <f>+[12]BS17!F78</f>
        <v>22</v>
      </c>
      <c r="D100" s="321">
        <f>+[12]BS17!G78</f>
        <v>3</v>
      </c>
      <c r="E100" s="322">
        <f>+[12]BS17!H78</f>
        <v>0</v>
      </c>
      <c r="F100" s="323">
        <f>[12]BS17A!V1489</f>
        <v>4741880</v>
      </c>
    </row>
    <row r="101" spans="1:6" s="501" customFormat="1" ht="15" customHeight="1" x14ac:dyDescent="0.2">
      <c r="A101" s="435" t="s">
        <v>157</v>
      </c>
      <c r="B101" s="430" t="s">
        <v>158</v>
      </c>
      <c r="C101" s="421">
        <f>+[12]BS17!F79</f>
        <v>6</v>
      </c>
      <c r="D101" s="321">
        <f>+[12]BS17!G79</f>
        <v>0</v>
      </c>
      <c r="E101" s="322">
        <f>+[12]BS17!H79</f>
        <v>0</v>
      </c>
      <c r="F101" s="323">
        <f>[12]BS17A!V1592</f>
        <v>1641250</v>
      </c>
    </row>
    <row r="102" spans="1:6" s="501" customFormat="1" ht="15" customHeight="1" x14ac:dyDescent="0.2">
      <c r="A102" s="467" t="s">
        <v>159</v>
      </c>
      <c r="B102" s="450" t="s">
        <v>160</v>
      </c>
      <c r="C102" s="422">
        <f>+[12]BS17!F80</f>
        <v>28</v>
      </c>
      <c r="D102" s="324">
        <f>+[12]BS17!G80</f>
        <v>6</v>
      </c>
      <c r="E102" s="325">
        <f>+[12]BS17!H80</f>
        <v>0</v>
      </c>
      <c r="F102" s="326">
        <f>[12]BS17A!V1597</f>
        <v>4856320</v>
      </c>
    </row>
    <row r="103" spans="1:6" s="501" customFormat="1" ht="15" customHeight="1" x14ac:dyDescent="0.2">
      <c r="A103" s="434" t="s">
        <v>161</v>
      </c>
      <c r="B103" s="429" t="s">
        <v>162</v>
      </c>
      <c r="C103" s="420">
        <f>+[12]BS17!F81</f>
        <v>42</v>
      </c>
      <c r="D103" s="318">
        <f>+[12]BS17!G81</f>
        <v>0</v>
      </c>
      <c r="E103" s="319">
        <f>+[12]BS17!H81</f>
        <v>0</v>
      </c>
      <c r="F103" s="320">
        <f>+[12]BS17A!V1631</f>
        <v>5038140</v>
      </c>
    </row>
    <row r="104" spans="1:6" s="501" customFormat="1" ht="15" customHeight="1" x14ac:dyDescent="0.2">
      <c r="A104" s="435"/>
      <c r="B104" s="430" t="s">
        <v>163</v>
      </c>
      <c r="C104" s="421">
        <f>+[12]BS17A!D1635</f>
        <v>0</v>
      </c>
      <c r="D104" s="321">
        <f>+[12]BS17A!F1635</f>
        <v>0</v>
      </c>
      <c r="E104" s="322">
        <f>+[12]BS17A!G1635</f>
        <v>0</v>
      </c>
      <c r="F104" s="323">
        <f>+[12]BS17A!V1635</f>
        <v>0</v>
      </c>
    </row>
    <row r="105" spans="1:6" s="501" customFormat="1" ht="15" customHeight="1" x14ac:dyDescent="0.2">
      <c r="A105" s="435"/>
      <c r="B105" s="430" t="s">
        <v>164</v>
      </c>
      <c r="C105" s="421">
        <f>+[12]BS17A!D1634</f>
        <v>30</v>
      </c>
      <c r="D105" s="321">
        <f>+[12]BS17A!F1634</f>
        <v>0</v>
      </c>
      <c r="E105" s="322">
        <f>+[12]BS17A!G1634</f>
        <v>0</v>
      </c>
      <c r="F105" s="323">
        <f>+[12]BS17A!V1634</f>
        <v>3868500</v>
      </c>
    </row>
    <row r="106" spans="1:6" s="501" customFormat="1" ht="15" customHeight="1" x14ac:dyDescent="0.2">
      <c r="A106" s="436"/>
      <c r="B106" s="444" t="s">
        <v>165</v>
      </c>
      <c r="C106" s="423">
        <f>+[12]BS17A!D1632+[12]BS17A!D1633</f>
        <v>12</v>
      </c>
      <c r="D106" s="328">
        <f>+[12]BS17A!F1632+[12]BS17A!F1633</f>
        <v>0</v>
      </c>
      <c r="E106" s="329">
        <f>+[12]BS17A!G1632+[12]BS17A!G1633</f>
        <v>0</v>
      </c>
      <c r="F106" s="330">
        <f>+[12]BS17A!V1632+[12]BS17A!V1633</f>
        <v>1169640</v>
      </c>
    </row>
    <row r="107" spans="1:6" s="501" customFormat="1" ht="15" customHeight="1" x14ac:dyDescent="0.2">
      <c r="A107" s="472" t="s">
        <v>166</v>
      </c>
      <c r="B107" s="471" t="s">
        <v>167</v>
      </c>
      <c r="C107" s="424">
        <f>+[12]BS17!F82</f>
        <v>51</v>
      </c>
      <c r="D107" s="331">
        <f>+[12]BS17!G82</f>
        <v>2</v>
      </c>
      <c r="E107" s="332">
        <f>+[12]BS17!H82</f>
        <v>0</v>
      </c>
      <c r="F107" s="333">
        <f>+[12]BS17A!V1639</f>
        <v>11085310</v>
      </c>
    </row>
    <row r="108" spans="1:6" s="501" customFormat="1" ht="15" customHeight="1" x14ac:dyDescent="0.2">
      <c r="A108" s="468">
        <v>2106</v>
      </c>
      <c r="B108" s="444" t="s">
        <v>168</v>
      </c>
      <c r="C108" s="423">
        <f>[12]BS17A!D1845</f>
        <v>5</v>
      </c>
      <c r="D108" s="328">
        <f>[12]BS17A!F1845</f>
        <v>2</v>
      </c>
      <c r="E108" s="329">
        <f>[12]BS17A!G1845</f>
        <v>0</v>
      </c>
      <c r="F108" s="330">
        <f>+[12]BS17A!V1845</f>
        <v>431080</v>
      </c>
    </row>
    <row r="109" spans="1:6" s="501" customFormat="1" ht="15" customHeight="1" x14ac:dyDescent="0.2">
      <c r="A109" s="442"/>
      <c r="B109" s="441" t="s">
        <v>169</v>
      </c>
      <c r="C109" s="425">
        <f>SUM(C90:C108)-C103</f>
        <v>721</v>
      </c>
      <c r="D109" s="335">
        <f>SUM(D90:D108)-D103</f>
        <v>41</v>
      </c>
      <c r="E109" s="336">
        <f>+SUM(E90:E103)+E107+E108</f>
        <v>0</v>
      </c>
      <c r="F109" s="337">
        <f>+SUM(F90:F103)+F107+F108</f>
        <v>127342790</v>
      </c>
    </row>
    <row r="110" spans="1:6" s="501" customFormat="1" ht="12.75" x14ac:dyDescent="0.2">
      <c r="A110" s="262"/>
      <c r="B110" s="262"/>
      <c r="C110" s="262"/>
      <c r="D110" s="262"/>
      <c r="E110" s="262"/>
      <c r="F110" s="259"/>
    </row>
    <row r="111" spans="1:6" s="501" customFormat="1" ht="12.75" x14ac:dyDescent="0.2">
      <c r="A111" s="262"/>
      <c r="B111" s="262"/>
      <c r="C111" s="262"/>
      <c r="D111" s="262"/>
      <c r="E111" s="262"/>
      <c r="F111" s="259"/>
    </row>
    <row r="112" spans="1:6" s="501" customFormat="1" ht="12.75" x14ac:dyDescent="0.2">
      <c r="A112" s="583" t="s">
        <v>170</v>
      </c>
      <c r="B112" s="584"/>
      <c r="C112" s="584"/>
      <c r="D112" s="584"/>
      <c r="E112" s="585"/>
      <c r="F112" s="259"/>
    </row>
    <row r="113" spans="1:6" s="501" customFormat="1" ht="49.5" customHeight="1" x14ac:dyDescent="0.2">
      <c r="A113" s="264" t="s">
        <v>8</v>
      </c>
      <c r="B113" s="264" t="s">
        <v>9</v>
      </c>
      <c r="C113" s="535" t="s">
        <v>10</v>
      </c>
      <c r="D113" s="310" t="s">
        <v>11</v>
      </c>
      <c r="E113" s="537" t="s">
        <v>12</v>
      </c>
      <c r="F113" s="259"/>
    </row>
    <row r="114" spans="1:6" s="501" customFormat="1" ht="15" customHeight="1" x14ac:dyDescent="0.2">
      <c r="A114" s="434" t="s">
        <v>171</v>
      </c>
      <c r="B114" s="429" t="s">
        <v>172</v>
      </c>
      <c r="C114" s="383">
        <f>+[12]BS17A!D1636</f>
        <v>79</v>
      </c>
      <c r="D114" s="338">
        <f>+[12]BS17A!U1636</f>
        <v>128940</v>
      </c>
      <c r="E114" s="339">
        <f>+[12]BS17A!V1636</f>
        <v>10186260</v>
      </c>
      <c r="F114" s="262"/>
    </row>
    <row r="115" spans="1:6" s="501" customFormat="1" ht="15" customHeight="1" x14ac:dyDescent="0.2">
      <c r="A115" s="436" t="s">
        <v>173</v>
      </c>
      <c r="B115" s="465" t="s">
        <v>174</v>
      </c>
      <c r="C115" s="410">
        <f>+[12]BS17A!D1637</f>
        <v>5</v>
      </c>
      <c r="D115" s="340">
        <f>+[12]BS17A!U1637</f>
        <v>135670</v>
      </c>
      <c r="E115" s="315">
        <f>+[12]BS17A!V1637</f>
        <v>678350</v>
      </c>
      <c r="F115" s="262"/>
    </row>
    <row r="116" spans="1:6" s="501" customFormat="1" ht="15" customHeight="1" x14ac:dyDescent="0.2">
      <c r="A116" s="316"/>
      <c r="B116" s="393" t="s">
        <v>175</v>
      </c>
      <c r="C116" s="316">
        <f>SUM(C114:C115)</f>
        <v>84</v>
      </c>
      <c r="D116" s="288"/>
      <c r="E116" s="317">
        <f>SUM(E114:E115)</f>
        <v>10864610</v>
      </c>
      <c r="F116" s="262"/>
    </row>
    <row r="117" spans="1:6" s="501" customFormat="1" ht="12.75" x14ac:dyDescent="0.2">
      <c r="A117" s="262"/>
      <c r="B117" s="262"/>
      <c r="C117" s="262"/>
      <c r="D117" s="262"/>
      <c r="E117" s="262"/>
      <c r="F117" s="262"/>
    </row>
    <row r="118" spans="1:6" s="501" customFormat="1" ht="12.75" x14ac:dyDescent="0.2">
      <c r="A118" s="262"/>
      <c r="B118" s="262"/>
      <c r="C118" s="262"/>
      <c r="D118" s="262"/>
      <c r="E118" s="262"/>
      <c r="F118" s="259"/>
    </row>
    <row r="119" spans="1:6" s="501" customFormat="1" ht="12.75" x14ac:dyDescent="0.2">
      <c r="A119" s="608" t="s">
        <v>176</v>
      </c>
      <c r="B119" s="608"/>
      <c r="C119" s="608"/>
      <c r="D119" s="262"/>
      <c r="E119" s="262"/>
      <c r="F119" s="259"/>
    </row>
    <row r="120" spans="1:6" s="501" customFormat="1" ht="38.25" customHeight="1" x14ac:dyDescent="0.2">
      <c r="A120" s="264" t="s">
        <v>8</v>
      </c>
      <c r="B120" s="264" t="s">
        <v>10</v>
      </c>
      <c r="C120" s="264" t="s">
        <v>12</v>
      </c>
      <c r="D120" s="262"/>
      <c r="E120" s="262"/>
      <c r="F120" s="262"/>
    </row>
    <row r="121" spans="1:6" s="501" customFormat="1" ht="15" customHeight="1" x14ac:dyDescent="0.2">
      <c r="A121" s="341" t="s">
        <v>177</v>
      </c>
      <c r="B121" s="342" t="s">
        <v>178</v>
      </c>
      <c r="C121" s="343">
        <f>+[12]BS17A!V1871+[12]BS17A!V1889+[12]BS17A!V1914</f>
        <v>11957960</v>
      </c>
      <c r="D121" s="262"/>
      <c r="E121" s="262"/>
      <c r="F121" s="262"/>
    </row>
    <row r="122" spans="1:6" s="501" customFormat="1" ht="12.75" x14ac:dyDescent="0.2">
      <c r="A122" s="262"/>
      <c r="B122" s="262"/>
      <c r="C122" s="262"/>
      <c r="D122" s="262"/>
      <c r="E122" s="259"/>
      <c r="F122" s="262"/>
    </row>
    <row r="123" spans="1:6" s="501" customFormat="1" ht="12.75" x14ac:dyDescent="0.2">
      <c r="A123" s="262"/>
      <c r="B123" s="262"/>
      <c r="C123" s="262"/>
      <c r="D123" s="262"/>
      <c r="E123" s="259"/>
      <c r="F123" s="262"/>
    </row>
    <row r="124" spans="1:6" s="501" customFormat="1" ht="12.75" x14ac:dyDescent="0.2">
      <c r="A124" s="583" t="s">
        <v>179</v>
      </c>
      <c r="B124" s="584"/>
      <c r="C124" s="584"/>
      <c r="D124" s="584"/>
      <c r="E124" s="585"/>
      <c r="F124" s="259"/>
    </row>
    <row r="125" spans="1:6" s="501" customFormat="1" ht="45.75" customHeight="1" x14ac:dyDescent="0.2">
      <c r="A125" s="264" t="s">
        <v>8</v>
      </c>
      <c r="B125" s="264" t="s">
        <v>9</v>
      </c>
      <c r="C125" s="535" t="s">
        <v>10</v>
      </c>
      <c r="D125" s="310" t="s">
        <v>11</v>
      </c>
      <c r="E125" s="537" t="s">
        <v>12</v>
      </c>
      <c r="F125" s="259"/>
    </row>
    <row r="126" spans="1:6" s="501" customFormat="1" ht="15" customHeight="1" x14ac:dyDescent="0.2">
      <c r="A126" s="434" t="s">
        <v>180</v>
      </c>
      <c r="B126" s="451" t="s">
        <v>181</v>
      </c>
      <c r="C126" s="383">
        <f>+[12]BS17A!$D59</f>
        <v>5094</v>
      </c>
      <c r="D126" s="275">
        <f>+[12]BS17A!$U59</f>
        <v>33020</v>
      </c>
      <c r="E126" s="344">
        <f>+[12]BS17A!$V59</f>
        <v>168203880</v>
      </c>
      <c r="F126" s="262"/>
    </row>
    <row r="127" spans="1:6" s="501" customFormat="1" ht="15" customHeight="1" x14ac:dyDescent="0.2">
      <c r="A127" s="435" t="s">
        <v>182</v>
      </c>
      <c r="B127" s="431" t="s">
        <v>183</v>
      </c>
      <c r="C127" s="380">
        <f>+[12]BS17A!$D60</f>
        <v>0</v>
      </c>
      <c r="D127" s="270">
        <f>+[12]BS17A!$U60</f>
        <v>30400</v>
      </c>
      <c r="E127" s="345">
        <f>+[12]BS17A!$V60</f>
        <v>0</v>
      </c>
      <c r="F127" s="262"/>
    </row>
    <row r="128" spans="1:6" s="501" customFormat="1" ht="15" customHeight="1" x14ac:dyDescent="0.2">
      <c r="A128" s="435" t="s">
        <v>184</v>
      </c>
      <c r="B128" s="431" t="s">
        <v>185</v>
      </c>
      <c r="C128" s="380">
        <f>+[12]BS17A!$D61</f>
        <v>0</v>
      </c>
      <c r="D128" s="270">
        <f>+[12]BS17A!$U61</f>
        <v>25340</v>
      </c>
      <c r="E128" s="345">
        <f>+[12]BS17A!$V61</f>
        <v>0</v>
      </c>
      <c r="F128" s="262"/>
    </row>
    <row r="129" spans="1:6" s="501" customFormat="1" ht="15" customHeight="1" x14ac:dyDescent="0.2">
      <c r="A129" s="435" t="s">
        <v>186</v>
      </c>
      <c r="B129" s="431" t="s">
        <v>187</v>
      </c>
      <c r="C129" s="380">
        <f>SUM([12]BS17A!D62:D64)</f>
        <v>381</v>
      </c>
      <c r="D129" s="270">
        <f>+[12]BS17A!$U62</f>
        <v>137290</v>
      </c>
      <c r="E129" s="345">
        <f>SUM([12]BS17A!V62:V64)</f>
        <v>52307490</v>
      </c>
      <c r="F129" s="262"/>
    </row>
    <row r="130" spans="1:6" s="501" customFormat="1" ht="15" customHeight="1" x14ac:dyDescent="0.2">
      <c r="A130" s="435" t="s">
        <v>188</v>
      </c>
      <c r="B130" s="431" t="s">
        <v>189</v>
      </c>
      <c r="C130" s="380">
        <f>SUM([12]BS17A!D65:D67)</f>
        <v>220</v>
      </c>
      <c r="D130" s="270">
        <f>+[12]BS17A!$U65</f>
        <v>66300</v>
      </c>
      <c r="E130" s="345">
        <f>SUM([12]BS17A!V65:V67)</f>
        <v>14586000</v>
      </c>
      <c r="F130" s="262"/>
    </row>
    <row r="131" spans="1:6" s="501" customFormat="1" ht="15" customHeight="1" x14ac:dyDescent="0.2">
      <c r="A131" s="435" t="s">
        <v>190</v>
      </c>
      <c r="B131" s="431" t="s">
        <v>191</v>
      </c>
      <c r="C131" s="380">
        <f>+[12]BS17A!D68</f>
        <v>182</v>
      </c>
      <c r="D131" s="270">
        <f>+[12]BS17A!$U68</f>
        <v>59490</v>
      </c>
      <c r="E131" s="345">
        <f>+[12]BS17A!$V68</f>
        <v>10827180</v>
      </c>
      <c r="F131" s="262"/>
    </row>
    <row r="132" spans="1:6" s="501" customFormat="1" ht="15" customHeight="1" x14ac:dyDescent="0.2">
      <c r="A132" s="435" t="s">
        <v>192</v>
      </c>
      <c r="B132" s="431" t="s">
        <v>193</v>
      </c>
      <c r="C132" s="380">
        <f>+[12]BS17A!$D69</f>
        <v>0</v>
      </c>
      <c r="D132" s="270">
        <f>+[12]BS17A!$U69</f>
        <v>16880</v>
      </c>
      <c r="E132" s="345">
        <f>+[12]BS17A!$V69</f>
        <v>0</v>
      </c>
      <c r="F132" s="262"/>
    </row>
    <row r="133" spans="1:6" s="501" customFormat="1" ht="15" customHeight="1" x14ac:dyDescent="0.2">
      <c r="A133" s="435" t="s">
        <v>194</v>
      </c>
      <c r="B133" s="431" t="s">
        <v>195</v>
      </c>
      <c r="C133" s="380">
        <f>+[12]BS17A!$D70</f>
        <v>0</v>
      </c>
      <c r="D133" s="270">
        <f>+[12]BS17A!$U70</f>
        <v>26450</v>
      </c>
      <c r="E133" s="345">
        <f>+[12]BS17A!$V70</f>
        <v>0</v>
      </c>
      <c r="F133" s="262"/>
    </row>
    <row r="134" spans="1:6" s="501" customFormat="1" ht="15" customHeight="1" x14ac:dyDescent="0.2">
      <c r="A134" s="435" t="s">
        <v>196</v>
      </c>
      <c r="B134" s="431" t="s">
        <v>197</v>
      </c>
      <c r="C134" s="380">
        <f>+[12]BS17A!$D73</f>
        <v>0</v>
      </c>
      <c r="D134" s="270">
        <f>+[12]BS17A!$U73</f>
        <v>26670</v>
      </c>
      <c r="E134" s="345">
        <f>+[12]BS17A!$V73</f>
        <v>0</v>
      </c>
      <c r="F134" s="262"/>
    </row>
    <row r="135" spans="1:6" s="501" customFormat="1" ht="15" customHeight="1" x14ac:dyDescent="0.2">
      <c r="A135" s="435" t="s">
        <v>198</v>
      </c>
      <c r="B135" s="431" t="s">
        <v>199</v>
      </c>
      <c r="C135" s="380">
        <f>+[12]BS17A!$D71</f>
        <v>0</v>
      </c>
      <c r="D135" s="270">
        <f>+[12]BS17A!$U71</f>
        <v>27530</v>
      </c>
      <c r="E135" s="345">
        <f>+[12]BS17A!$V71</f>
        <v>0</v>
      </c>
      <c r="F135" s="262"/>
    </row>
    <row r="136" spans="1:6" s="501" customFormat="1" ht="15" customHeight="1" x14ac:dyDescent="0.2">
      <c r="A136" s="435" t="s">
        <v>200</v>
      </c>
      <c r="B136" s="431" t="s">
        <v>201</v>
      </c>
      <c r="C136" s="380">
        <f>+[12]BS17A!$D76</f>
        <v>0</v>
      </c>
      <c r="D136" s="270">
        <f>+[12]BS17A!$U76</f>
        <v>33020</v>
      </c>
      <c r="E136" s="345">
        <f>+[12]BS17A!$V76</f>
        <v>0</v>
      </c>
      <c r="F136" s="262"/>
    </row>
    <row r="137" spans="1:6" s="501" customFormat="1" ht="15" customHeight="1" x14ac:dyDescent="0.2">
      <c r="A137" s="435" t="s">
        <v>202</v>
      </c>
      <c r="B137" s="430" t="s">
        <v>203</v>
      </c>
      <c r="C137" s="380">
        <f>+[12]BS17A!$D79</f>
        <v>24</v>
      </c>
      <c r="D137" s="270">
        <f>+[12]BS17A!$U79</f>
        <v>6410</v>
      </c>
      <c r="E137" s="345">
        <f>+[12]BS17A!$V79</f>
        <v>153840</v>
      </c>
      <c r="F137" s="262"/>
    </row>
    <row r="138" spans="1:6" s="501" customFormat="1" ht="15" customHeight="1" x14ac:dyDescent="0.2">
      <c r="A138" s="435" t="s">
        <v>204</v>
      </c>
      <c r="B138" s="430" t="s">
        <v>205</v>
      </c>
      <c r="C138" s="380">
        <f>+[12]BS17A!$D80</f>
        <v>0</v>
      </c>
      <c r="D138" s="270">
        <f>+[12]BS17A!$U80</f>
        <v>46280</v>
      </c>
      <c r="E138" s="345">
        <f>+[12]BS17A!$V80</f>
        <v>0</v>
      </c>
      <c r="F138" s="262"/>
    </row>
    <row r="139" spans="1:6" s="501" customFormat="1" ht="15" customHeight="1" x14ac:dyDescent="0.2">
      <c r="A139" s="436"/>
      <c r="B139" s="469" t="s">
        <v>206</v>
      </c>
      <c r="C139" s="419">
        <f>SUM(C126:C138)</f>
        <v>5901</v>
      </c>
      <c r="D139" s="346"/>
      <c r="E139" s="347">
        <f>SUM(E126:E138)</f>
        <v>246078390</v>
      </c>
      <c r="F139" s="262"/>
    </row>
    <row r="140" spans="1:6" s="501" customFormat="1" ht="15" customHeight="1" x14ac:dyDescent="0.2">
      <c r="A140" s="434"/>
      <c r="B140" s="470" t="s">
        <v>207</v>
      </c>
      <c r="C140" s="383"/>
      <c r="D140" s="275"/>
      <c r="E140" s="344"/>
      <c r="F140" s="262"/>
    </row>
    <row r="141" spans="1:6" s="501" customFormat="1" ht="15" customHeight="1" x14ac:dyDescent="0.2">
      <c r="A141" s="435" t="s">
        <v>208</v>
      </c>
      <c r="B141" s="431" t="s">
        <v>209</v>
      </c>
      <c r="C141" s="380">
        <f>+[12]BS17A!$D72</f>
        <v>0</v>
      </c>
      <c r="D141" s="270">
        <f>+[12]BS17A!$U72</f>
        <v>11100</v>
      </c>
      <c r="E141" s="345">
        <f>+[12]BS17A!$V72</f>
        <v>0</v>
      </c>
      <c r="F141" s="262"/>
    </row>
    <row r="142" spans="1:6" s="501" customFormat="1" ht="15" customHeight="1" x14ac:dyDescent="0.2">
      <c r="A142" s="435" t="s">
        <v>210</v>
      </c>
      <c r="B142" s="431" t="s">
        <v>211</v>
      </c>
      <c r="C142" s="380">
        <f>+[12]BS17A!$D74</f>
        <v>0</v>
      </c>
      <c r="D142" s="270">
        <f>+[12]BS17A!$U74</f>
        <v>11100</v>
      </c>
      <c r="E142" s="345">
        <f>+[12]BS17A!$V74</f>
        <v>0</v>
      </c>
      <c r="F142" s="262"/>
    </row>
    <row r="143" spans="1:6" s="501" customFormat="1" ht="15" customHeight="1" x14ac:dyDescent="0.2">
      <c r="A143" s="435" t="s">
        <v>212</v>
      </c>
      <c r="B143" s="431" t="s">
        <v>213</v>
      </c>
      <c r="C143" s="380">
        <f>+[12]BS17A!$D75</f>
        <v>0</v>
      </c>
      <c r="D143" s="270">
        <f>+[12]BS17A!$U75</f>
        <v>4890</v>
      </c>
      <c r="E143" s="345">
        <f>+[12]BS17A!$V75</f>
        <v>0</v>
      </c>
      <c r="F143" s="262"/>
    </row>
    <row r="144" spans="1:6" s="501" customFormat="1" ht="15" customHeight="1" x14ac:dyDescent="0.2">
      <c r="A144" s="435" t="s">
        <v>214</v>
      </c>
      <c r="B144" s="431" t="s">
        <v>215</v>
      </c>
      <c r="C144" s="380">
        <f>+[12]BS17A!$D77</f>
        <v>0</v>
      </c>
      <c r="D144" s="270">
        <f>+[12]BS17A!$U77</f>
        <v>89270</v>
      </c>
      <c r="E144" s="345">
        <f>+[12]BS17A!$V77</f>
        <v>0</v>
      </c>
      <c r="F144" s="262"/>
    </row>
    <row r="145" spans="1:6" s="501" customFormat="1" ht="15" customHeight="1" x14ac:dyDescent="0.2">
      <c r="A145" s="435" t="s">
        <v>216</v>
      </c>
      <c r="B145" s="431" t="s">
        <v>217</v>
      </c>
      <c r="C145" s="380">
        <f>+[12]BS17A!$D78</f>
        <v>0</v>
      </c>
      <c r="D145" s="270">
        <f>+[12]BS17A!$U78</f>
        <v>10540</v>
      </c>
      <c r="E145" s="345">
        <f>+[12]BS17A!$V78</f>
        <v>0</v>
      </c>
      <c r="F145" s="262"/>
    </row>
    <row r="146" spans="1:6" s="501" customFormat="1" ht="15" customHeight="1" x14ac:dyDescent="0.2">
      <c r="A146" s="435" t="s">
        <v>218</v>
      </c>
      <c r="B146" s="431" t="s">
        <v>219</v>
      </c>
      <c r="C146" s="380">
        <f>+[12]BS17A!$D81</f>
        <v>0</v>
      </c>
      <c r="D146" s="270">
        <f>+[12]BS17A!$U81</f>
        <v>8120</v>
      </c>
      <c r="E146" s="345">
        <f>+[12]BS17A!$V81</f>
        <v>0</v>
      </c>
      <c r="F146" s="262"/>
    </row>
    <row r="147" spans="1:6" s="501" customFormat="1" ht="15" customHeight="1" x14ac:dyDescent="0.2">
      <c r="A147" s="436"/>
      <c r="B147" s="469" t="s">
        <v>220</v>
      </c>
      <c r="C147" s="419">
        <f>SUM(C141:C146)</f>
        <v>0</v>
      </c>
      <c r="D147" s="346"/>
      <c r="E147" s="347">
        <f>SUM(E141:E146)</f>
        <v>0</v>
      </c>
      <c r="F147" s="262"/>
    </row>
    <row r="148" spans="1:6" s="501" customFormat="1" ht="15" customHeight="1" x14ac:dyDescent="0.2">
      <c r="A148" s="442"/>
      <c r="B148" s="441" t="s">
        <v>221</v>
      </c>
      <c r="C148" s="279">
        <f>+C139+C147</f>
        <v>5901</v>
      </c>
      <c r="D148" s="348"/>
      <c r="E148" s="349">
        <f>+E139+E147</f>
        <v>246078390</v>
      </c>
      <c r="F148" s="262"/>
    </row>
    <row r="149" spans="1:6" s="501" customFormat="1" ht="12.75" x14ac:dyDescent="0.2">
      <c r="A149" s="262"/>
      <c r="B149" s="262"/>
      <c r="C149" s="262"/>
      <c r="D149" s="262"/>
      <c r="E149" s="262"/>
      <c r="F149" s="262"/>
    </row>
    <row r="150" spans="1:6" s="501" customFormat="1" ht="12.75" x14ac:dyDescent="0.2">
      <c r="A150" s="262"/>
      <c r="B150" s="262"/>
      <c r="C150" s="262"/>
      <c r="D150" s="262"/>
      <c r="E150" s="262"/>
      <c r="F150" s="259"/>
    </row>
    <row r="151" spans="1:6" s="501" customFormat="1" ht="12.75" x14ac:dyDescent="0.2">
      <c r="A151" s="597" t="s">
        <v>222</v>
      </c>
      <c r="B151" s="598"/>
      <c r="C151" s="598"/>
      <c r="D151" s="598"/>
      <c r="E151" s="599"/>
      <c r="F151" s="259"/>
    </row>
    <row r="152" spans="1:6" s="501" customFormat="1" ht="47.25" customHeight="1" x14ac:dyDescent="0.2">
      <c r="A152" s="264" t="s">
        <v>8</v>
      </c>
      <c r="B152" s="264" t="s">
        <v>9</v>
      </c>
      <c r="C152" s="535" t="s">
        <v>10</v>
      </c>
      <c r="D152" s="310" t="s">
        <v>11</v>
      </c>
      <c r="E152" s="537" t="s">
        <v>12</v>
      </c>
      <c r="F152" s="262"/>
    </row>
    <row r="153" spans="1:6" s="501" customFormat="1" ht="15" customHeight="1" x14ac:dyDescent="0.2">
      <c r="A153" s="434" t="s">
        <v>223</v>
      </c>
      <c r="B153" s="451" t="s">
        <v>224</v>
      </c>
      <c r="C153" s="383">
        <f>+[12]BS17A!D43</f>
        <v>265</v>
      </c>
      <c r="D153" s="275">
        <f>[12]BS17A!U43</f>
        <v>760</v>
      </c>
      <c r="E153" s="344">
        <f>+[12]BS17A!V43</f>
        <v>201400</v>
      </c>
      <c r="F153" s="262"/>
    </row>
    <row r="154" spans="1:6" s="501" customFormat="1" ht="15" customHeight="1" x14ac:dyDescent="0.2">
      <c r="A154" s="436" t="s">
        <v>225</v>
      </c>
      <c r="B154" s="432" t="s">
        <v>226</v>
      </c>
      <c r="C154" s="395">
        <f>+[12]BS17A!D44+[12]BS17A!D45</f>
        <v>0</v>
      </c>
      <c r="D154" s="277">
        <f>[12]BS17A!U44</f>
        <v>100</v>
      </c>
      <c r="E154" s="350">
        <f>+[12]BS17A!V44+[12]BS17A!V45</f>
        <v>0</v>
      </c>
      <c r="F154" s="262"/>
    </row>
    <row r="155" spans="1:6" s="501" customFormat="1" ht="15" customHeight="1" x14ac:dyDescent="0.2">
      <c r="A155" s="442"/>
      <c r="B155" s="441" t="s">
        <v>227</v>
      </c>
      <c r="C155" s="279">
        <f>SUM(C153:C154)</f>
        <v>265</v>
      </c>
      <c r="D155" s="348"/>
      <c r="E155" s="349">
        <f>SUM(E153:E154)</f>
        <v>201400</v>
      </c>
      <c r="F155" s="262"/>
    </row>
    <row r="156" spans="1:6" s="501" customFormat="1" ht="12.75" x14ac:dyDescent="0.2">
      <c r="A156" s="262"/>
      <c r="B156" s="262"/>
      <c r="C156" s="262"/>
      <c r="D156" s="262"/>
      <c r="E156" s="262"/>
      <c r="F156" s="262"/>
    </row>
    <row r="157" spans="1:6" s="501" customFormat="1" ht="12.75" x14ac:dyDescent="0.2">
      <c r="A157" s="262"/>
      <c r="B157" s="262"/>
      <c r="C157" s="262"/>
      <c r="D157" s="262"/>
      <c r="E157" s="262"/>
      <c r="F157" s="262"/>
    </row>
    <row r="158" spans="1:6" s="501" customFormat="1" ht="18" customHeight="1" x14ac:dyDescent="0.2">
      <c r="A158" s="597" t="s">
        <v>228</v>
      </c>
      <c r="B158" s="598"/>
      <c r="C158" s="598"/>
      <c r="D158" s="598"/>
      <c r="E158" s="599"/>
      <c r="F158" s="259"/>
    </row>
    <row r="159" spans="1:6" s="501" customFormat="1" ht="47.25" customHeight="1" x14ac:dyDescent="0.2">
      <c r="A159" s="264" t="s">
        <v>8</v>
      </c>
      <c r="B159" s="264" t="s">
        <v>9</v>
      </c>
      <c r="C159" s="535" t="s">
        <v>10</v>
      </c>
      <c r="D159" s="310" t="s">
        <v>11</v>
      </c>
      <c r="E159" s="537" t="s">
        <v>12</v>
      </c>
      <c r="F159" s="262"/>
    </row>
    <row r="160" spans="1:6" s="501" customFormat="1" ht="15" customHeight="1" x14ac:dyDescent="0.2">
      <c r="A160" s="434" t="s">
        <v>229</v>
      </c>
      <c r="B160" s="429" t="s">
        <v>230</v>
      </c>
      <c r="C160" s="414">
        <f>+[12]BS17A!$D1481</f>
        <v>0</v>
      </c>
      <c r="D160" s="275">
        <f>+[12]BS17A!$U1481</f>
        <v>41580</v>
      </c>
      <c r="E160" s="344">
        <f>+[12]BS17A!$V1481</f>
        <v>0</v>
      </c>
      <c r="F160" s="262"/>
    </row>
    <row r="161" spans="1:6" s="501" customFormat="1" ht="15" customHeight="1" x14ac:dyDescent="0.2">
      <c r="A161" s="435" t="s">
        <v>231</v>
      </c>
      <c r="B161" s="431" t="s">
        <v>232</v>
      </c>
      <c r="C161" s="418">
        <f>+[12]BS17A!$D1482</f>
        <v>0</v>
      </c>
      <c r="D161" s="270">
        <f>+[12]BS17A!$U1482</f>
        <v>26150</v>
      </c>
      <c r="E161" s="345">
        <f>+[12]BS17A!$V1482</f>
        <v>0</v>
      </c>
      <c r="F161" s="262"/>
    </row>
    <row r="162" spans="1:6" s="501" customFormat="1" ht="15" customHeight="1" x14ac:dyDescent="0.2">
      <c r="A162" s="435" t="s">
        <v>233</v>
      </c>
      <c r="B162" s="430" t="s">
        <v>234</v>
      </c>
      <c r="C162" s="418">
        <f>+[12]BS17A!$D1483</f>
        <v>0</v>
      </c>
      <c r="D162" s="270">
        <f>+[12]BS17A!$U1483</f>
        <v>26930</v>
      </c>
      <c r="E162" s="345">
        <f>+[12]BS17A!$V1483</f>
        <v>0</v>
      </c>
      <c r="F162" s="262"/>
    </row>
    <row r="163" spans="1:6" s="501" customFormat="1" ht="15" customHeight="1" x14ac:dyDescent="0.2">
      <c r="A163" s="435" t="s">
        <v>235</v>
      </c>
      <c r="B163" s="431" t="s">
        <v>236</v>
      </c>
      <c r="C163" s="418">
        <f>+[12]BS17A!$D1484</f>
        <v>0</v>
      </c>
      <c r="D163" s="270">
        <f>+[12]BS17A!$U1484</f>
        <v>808040</v>
      </c>
      <c r="E163" s="345">
        <f>+[12]BS17A!$V1484</f>
        <v>0</v>
      </c>
      <c r="F163" s="262"/>
    </row>
    <row r="164" spans="1:6" s="501" customFormat="1" ht="15" customHeight="1" x14ac:dyDescent="0.2">
      <c r="A164" s="435" t="s">
        <v>237</v>
      </c>
      <c r="B164" s="431" t="s">
        <v>238</v>
      </c>
      <c r="C164" s="418">
        <f>+[12]BS17A!$D1485</f>
        <v>0</v>
      </c>
      <c r="D164" s="270">
        <f>+[12]BS17A!$U1485</f>
        <v>367020</v>
      </c>
      <c r="E164" s="345">
        <f>+[12]BS17A!$V1485</f>
        <v>0</v>
      </c>
      <c r="F164" s="262"/>
    </row>
    <row r="165" spans="1:6" s="501" customFormat="1" ht="15" customHeight="1" x14ac:dyDescent="0.2">
      <c r="A165" s="435" t="s">
        <v>239</v>
      </c>
      <c r="B165" s="431" t="s">
        <v>240</v>
      </c>
      <c r="C165" s="418">
        <f>+[12]BS17A!$D1486</f>
        <v>0</v>
      </c>
      <c r="D165" s="270">
        <f>+[12]BS17A!$U1486</f>
        <v>561210</v>
      </c>
      <c r="E165" s="345">
        <f>+[12]BS17A!$V1486</f>
        <v>0</v>
      </c>
      <c r="F165" s="262"/>
    </row>
    <row r="166" spans="1:6" s="501" customFormat="1" ht="15" customHeight="1" x14ac:dyDescent="0.2">
      <c r="A166" s="467" t="s">
        <v>241</v>
      </c>
      <c r="B166" s="465" t="s">
        <v>242</v>
      </c>
      <c r="C166" s="418">
        <f>+[12]BS17A!$D1487</f>
        <v>0</v>
      </c>
      <c r="D166" s="270">
        <f>+[12]BS17A!$U1487</f>
        <v>50600</v>
      </c>
      <c r="E166" s="345">
        <f>+[12]BS17A!$V1487</f>
        <v>0</v>
      </c>
      <c r="F166" s="262"/>
    </row>
    <row r="167" spans="1:6" s="501" customFormat="1" ht="15" customHeight="1" x14ac:dyDescent="0.2">
      <c r="A167" s="468">
        <v>1901029</v>
      </c>
      <c r="B167" s="466" t="s">
        <v>243</v>
      </c>
      <c r="C167" s="415">
        <f>+[12]BS17A!$D1488</f>
        <v>0</v>
      </c>
      <c r="D167" s="277">
        <f>+[12]BS17A!$U1488</f>
        <v>657830</v>
      </c>
      <c r="E167" s="350">
        <f>+[12]BS17A!$V1488</f>
        <v>0</v>
      </c>
      <c r="F167" s="262"/>
    </row>
    <row r="168" spans="1:6" s="501" customFormat="1" ht="15" customHeight="1" x14ac:dyDescent="0.2">
      <c r="A168" s="334"/>
      <c r="B168" s="351" t="s">
        <v>244</v>
      </c>
      <c r="C168" s="352">
        <f>SUM(C160:C167)</f>
        <v>0</v>
      </c>
      <c r="D168" s="353"/>
      <c r="E168" s="354">
        <f>SUM(E160:E167)</f>
        <v>0</v>
      </c>
      <c r="F168" s="262"/>
    </row>
    <row r="169" spans="1:6" s="501" customFormat="1" ht="12.75" x14ac:dyDescent="0.2">
      <c r="A169" s="262"/>
      <c r="B169" s="262"/>
      <c r="C169" s="262"/>
      <c r="D169" s="262"/>
      <c r="E169" s="262"/>
      <c r="F169" s="262"/>
    </row>
    <row r="170" spans="1:6" s="501" customFormat="1" ht="18" customHeight="1" x14ac:dyDescent="0.2">
      <c r="A170" s="262"/>
      <c r="B170" s="262"/>
      <c r="C170" s="262"/>
      <c r="D170" s="262"/>
      <c r="E170" s="262"/>
      <c r="F170" s="262"/>
    </row>
    <row r="171" spans="1:6" s="501" customFormat="1" ht="18" customHeight="1" x14ac:dyDescent="0.2">
      <c r="A171" s="583" t="s">
        <v>245</v>
      </c>
      <c r="B171" s="584"/>
      <c r="C171" s="584"/>
      <c r="D171" s="584"/>
      <c r="E171" s="585"/>
      <c r="F171" s="259"/>
    </row>
    <row r="172" spans="1:6" s="501" customFormat="1" ht="46.5" customHeight="1" x14ac:dyDescent="0.2">
      <c r="A172" s="264" t="s">
        <v>8</v>
      </c>
      <c r="B172" s="264" t="s">
        <v>9</v>
      </c>
      <c r="C172" s="535" t="s">
        <v>10</v>
      </c>
      <c r="D172" s="310" t="s">
        <v>11</v>
      </c>
      <c r="E172" s="537" t="s">
        <v>12</v>
      </c>
      <c r="F172" s="262"/>
    </row>
    <row r="173" spans="1:6" s="501" customFormat="1" ht="12.75" customHeight="1" x14ac:dyDescent="0.2">
      <c r="A173" s="463">
        <v>1101004</v>
      </c>
      <c r="B173" s="458" t="s">
        <v>246</v>
      </c>
      <c r="C173" s="383">
        <f>+[12]BS17A!$D805</f>
        <v>12</v>
      </c>
      <c r="D173" s="275">
        <f>+[12]BS17A!$U805</f>
        <v>14260</v>
      </c>
      <c r="E173" s="344">
        <f>+[12]BS17A!$V805</f>
        <v>171120</v>
      </c>
      <c r="F173" s="262"/>
    </row>
    <row r="174" spans="1:6" s="501" customFormat="1" ht="12.75" customHeight="1" x14ac:dyDescent="0.2">
      <c r="A174" s="457">
        <v>1101006</v>
      </c>
      <c r="B174" s="459" t="s">
        <v>247</v>
      </c>
      <c r="C174" s="380">
        <f>+[12]BS17A!$D806</f>
        <v>0</v>
      </c>
      <c r="D174" s="270">
        <f>+[12]BS17A!$U806</f>
        <v>11400</v>
      </c>
      <c r="E174" s="345">
        <f>+[12]BS17A!$V806</f>
        <v>0</v>
      </c>
      <c r="F174" s="262"/>
    </row>
    <row r="175" spans="1:6" s="501" customFormat="1" ht="24.75" customHeight="1" x14ac:dyDescent="0.2">
      <c r="A175" s="457" t="s">
        <v>248</v>
      </c>
      <c r="B175" s="460" t="s">
        <v>249</v>
      </c>
      <c r="C175" s="380">
        <f>+[12]BS17A!$D1197</f>
        <v>632</v>
      </c>
      <c r="D175" s="270">
        <f>+[12]BS17A!$U1197</f>
        <v>4880</v>
      </c>
      <c r="E175" s="345">
        <f>+[12]BS17A!$V1197</f>
        <v>3084160</v>
      </c>
      <c r="F175" s="262"/>
    </row>
    <row r="176" spans="1:6" s="501" customFormat="1" ht="24.75" customHeight="1" x14ac:dyDescent="0.2">
      <c r="A176" s="457" t="s">
        <v>250</v>
      </c>
      <c r="B176" s="460" t="s">
        <v>251</v>
      </c>
      <c r="C176" s="380">
        <f>+[12]BS17A!$D1198</f>
        <v>11</v>
      </c>
      <c r="D176" s="270">
        <f>+[12]BS17A!$U1198</f>
        <v>13770</v>
      </c>
      <c r="E176" s="345">
        <f>+[12]BS17A!$V1198</f>
        <v>151470</v>
      </c>
      <c r="F176" s="262"/>
    </row>
    <row r="177" spans="1:6" s="501" customFormat="1" ht="24.75" customHeight="1" x14ac:dyDescent="0.2">
      <c r="A177" s="457" t="s">
        <v>252</v>
      </c>
      <c r="B177" s="460" t="s">
        <v>253</v>
      </c>
      <c r="C177" s="380">
        <f>+[12]BS17A!$D1199</f>
        <v>26</v>
      </c>
      <c r="D177" s="270">
        <f>+[12]BS17A!$U1199</f>
        <v>23350</v>
      </c>
      <c r="E177" s="345">
        <f>+[12]BS17A!$V1199</f>
        <v>607100</v>
      </c>
      <c r="F177" s="262"/>
    </row>
    <row r="178" spans="1:6" s="501" customFormat="1" ht="12.75" customHeight="1" x14ac:dyDescent="0.2">
      <c r="A178" s="457" t="s">
        <v>254</v>
      </c>
      <c r="B178" s="460" t="s">
        <v>255</v>
      </c>
      <c r="C178" s="380">
        <f>+[12]BS17A!$D1200</f>
        <v>0</v>
      </c>
      <c r="D178" s="270">
        <f>+[12]BS17A!$U1200</f>
        <v>44580</v>
      </c>
      <c r="E178" s="345">
        <f>+[12]BS17A!$V1200</f>
        <v>0</v>
      </c>
      <c r="F178" s="262"/>
    </row>
    <row r="179" spans="1:6" s="501" customFormat="1" ht="12.75" customHeight="1" x14ac:dyDescent="0.2">
      <c r="A179" s="457" t="s">
        <v>256</v>
      </c>
      <c r="B179" s="460" t="s">
        <v>257</v>
      </c>
      <c r="C179" s="380">
        <f>+[12]BS17A!$D1201</f>
        <v>142</v>
      </c>
      <c r="D179" s="270">
        <f>+[12]BS17A!$U1201</f>
        <v>49690</v>
      </c>
      <c r="E179" s="345">
        <f>+[12]BS17A!$V1201</f>
        <v>7055980</v>
      </c>
      <c r="F179" s="262"/>
    </row>
    <row r="180" spans="1:6" s="501" customFormat="1" ht="24.75" customHeight="1" x14ac:dyDescent="0.2">
      <c r="A180" s="457" t="s">
        <v>258</v>
      </c>
      <c r="B180" s="460" t="s">
        <v>259</v>
      </c>
      <c r="C180" s="380">
        <f>+[12]BS17A!$D1202</f>
        <v>0</v>
      </c>
      <c r="D180" s="270">
        <f>+[12]BS17A!$U1202</f>
        <v>27870</v>
      </c>
      <c r="E180" s="345">
        <f>+[12]BS17A!$V1202</f>
        <v>0</v>
      </c>
      <c r="F180" s="262"/>
    </row>
    <row r="181" spans="1:6" s="501" customFormat="1" ht="12.75" customHeight="1" x14ac:dyDescent="0.2">
      <c r="A181" s="457" t="s">
        <v>260</v>
      </c>
      <c r="B181" s="461" t="s">
        <v>261</v>
      </c>
      <c r="C181" s="380">
        <f>+[12]BS17A!$D1203</f>
        <v>0</v>
      </c>
      <c r="D181" s="270">
        <f>+[12]BS17A!$U1203</f>
        <v>215630</v>
      </c>
      <c r="E181" s="345">
        <f>+[12]BS17A!$V1203</f>
        <v>0</v>
      </c>
      <c r="F181" s="262"/>
    </row>
    <row r="182" spans="1:6" s="501" customFormat="1" ht="12.75" customHeight="1" x14ac:dyDescent="0.2">
      <c r="A182" s="457" t="s">
        <v>262</v>
      </c>
      <c r="B182" s="460" t="s">
        <v>263</v>
      </c>
      <c r="C182" s="380">
        <f>+[12]BS17A!$D1204</f>
        <v>0</v>
      </c>
      <c r="D182" s="270">
        <f>+[12]BS17A!$U1204</f>
        <v>245140</v>
      </c>
      <c r="E182" s="345">
        <f>+[12]BS17A!$V1204</f>
        <v>0</v>
      </c>
      <c r="F182" s="262"/>
    </row>
    <row r="183" spans="1:6" s="501" customFormat="1" ht="12.75" customHeight="1" x14ac:dyDescent="0.2">
      <c r="A183" s="457" t="s">
        <v>264</v>
      </c>
      <c r="B183" s="460" t="s">
        <v>265</v>
      </c>
      <c r="C183" s="380">
        <f>+[12]BS17A!$D1205</f>
        <v>0</v>
      </c>
      <c r="D183" s="270">
        <f>+[12]BS17A!$U1205</f>
        <v>199900</v>
      </c>
      <c r="E183" s="345">
        <f>+[12]BS17A!$V1205</f>
        <v>0</v>
      </c>
      <c r="F183" s="262"/>
    </row>
    <row r="184" spans="1:6" s="501" customFormat="1" ht="24.75" customHeight="1" x14ac:dyDescent="0.2">
      <c r="A184" s="457" t="s">
        <v>266</v>
      </c>
      <c r="B184" s="461" t="s">
        <v>267</v>
      </c>
      <c r="C184" s="380">
        <f>+[12]BS17A!$D1206</f>
        <v>0</v>
      </c>
      <c r="D184" s="270">
        <f>+[12]BS17A!$U1206</f>
        <v>256770</v>
      </c>
      <c r="E184" s="345">
        <f>+[12]BS17A!$V1206</f>
        <v>0</v>
      </c>
      <c r="F184" s="262"/>
    </row>
    <row r="185" spans="1:6" s="501" customFormat="1" ht="24.75" customHeight="1" x14ac:dyDescent="0.2">
      <c r="A185" s="457" t="s">
        <v>268</v>
      </c>
      <c r="B185" s="461" t="s">
        <v>269</v>
      </c>
      <c r="C185" s="380">
        <f>+[12]BS17A!$D1207</f>
        <v>0</v>
      </c>
      <c r="D185" s="270">
        <f>+[12]BS17A!$U1207</f>
        <v>262730</v>
      </c>
      <c r="E185" s="345">
        <f>+[12]BS17A!$V1207</f>
        <v>0</v>
      </c>
      <c r="F185" s="262"/>
    </row>
    <row r="186" spans="1:6" s="501" customFormat="1" ht="24.75" customHeight="1" x14ac:dyDescent="0.2">
      <c r="A186" s="457" t="s">
        <v>270</v>
      </c>
      <c r="B186" s="461" t="s">
        <v>271</v>
      </c>
      <c r="C186" s="380">
        <f>+[12]BS17A!$D1208</f>
        <v>0</v>
      </c>
      <c r="D186" s="270">
        <f>+[12]BS17A!$U1208</f>
        <v>222180</v>
      </c>
      <c r="E186" s="345">
        <f>+[12]BS17A!$V1208</f>
        <v>0</v>
      </c>
      <c r="F186" s="262"/>
    </row>
    <row r="187" spans="1:6" s="501" customFormat="1" ht="12.75" customHeight="1" x14ac:dyDescent="0.2">
      <c r="A187" s="457" t="s">
        <v>272</v>
      </c>
      <c r="B187" s="461" t="s">
        <v>273</v>
      </c>
      <c r="C187" s="380">
        <f>+[12]BS17A!$D1209</f>
        <v>0</v>
      </c>
      <c r="D187" s="270">
        <f>+[12]BS17A!$U1209</f>
        <v>237160</v>
      </c>
      <c r="E187" s="345">
        <f>+[12]BS17A!$V1209</f>
        <v>0</v>
      </c>
      <c r="F187" s="262"/>
    </row>
    <row r="188" spans="1:6" s="501" customFormat="1" ht="12.75" customHeight="1" x14ac:dyDescent="0.2">
      <c r="A188" s="457" t="s">
        <v>274</v>
      </c>
      <c r="B188" s="461" t="s">
        <v>275</v>
      </c>
      <c r="C188" s="380">
        <f>+[12]BS17A!$D1210</f>
        <v>0</v>
      </c>
      <c r="D188" s="270">
        <f>+[12]BS17A!$U1210</f>
        <v>283580</v>
      </c>
      <c r="E188" s="345">
        <f>+[12]BS17A!$V1210</f>
        <v>0</v>
      </c>
      <c r="F188" s="262"/>
    </row>
    <row r="189" spans="1:6" s="501" customFormat="1" ht="24.75" customHeight="1" x14ac:dyDescent="0.2">
      <c r="A189" s="457" t="s">
        <v>276</v>
      </c>
      <c r="B189" s="460" t="s">
        <v>277</v>
      </c>
      <c r="C189" s="380">
        <f>+[12]BS17A!$D1211</f>
        <v>0</v>
      </c>
      <c r="D189" s="270">
        <f>+[12]BS17A!$U1211</f>
        <v>251470</v>
      </c>
      <c r="E189" s="345">
        <f>+[12]BS17A!$V1211</f>
        <v>0</v>
      </c>
      <c r="F189" s="262"/>
    </row>
    <row r="190" spans="1:6" s="501" customFormat="1" ht="24.75" customHeight="1" x14ac:dyDescent="0.2">
      <c r="A190" s="457" t="s">
        <v>278</v>
      </c>
      <c r="B190" s="461" t="s">
        <v>279</v>
      </c>
      <c r="C190" s="380">
        <f>+[12]BS17A!$D1212</f>
        <v>0</v>
      </c>
      <c r="D190" s="270">
        <f>+[12]BS17A!$U1212</f>
        <v>1840310</v>
      </c>
      <c r="E190" s="345">
        <f>+[12]BS17A!$V1212</f>
        <v>0</v>
      </c>
      <c r="F190" s="262"/>
    </row>
    <row r="191" spans="1:6" s="501" customFormat="1" ht="12.75" customHeight="1" x14ac:dyDescent="0.2">
      <c r="A191" s="457" t="s">
        <v>280</v>
      </c>
      <c r="B191" s="461" t="s">
        <v>281</v>
      </c>
      <c r="C191" s="380">
        <f>+[12]BS17A!$D1213</f>
        <v>0</v>
      </c>
      <c r="D191" s="270">
        <f>+[12]BS17A!$U1213</f>
        <v>1149460</v>
      </c>
      <c r="E191" s="345">
        <f>+[12]BS17A!$V1213</f>
        <v>0</v>
      </c>
      <c r="F191" s="262"/>
    </row>
    <row r="192" spans="1:6" s="501" customFormat="1" ht="12.75" customHeight="1" x14ac:dyDescent="0.2">
      <c r="A192" s="435" t="s">
        <v>282</v>
      </c>
      <c r="B192" s="461" t="s">
        <v>283</v>
      </c>
      <c r="C192" s="380">
        <f>+[12]BS17A!$D1214</f>
        <v>0</v>
      </c>
      <c r="D192" s="270">
        <f>+[12]BS17A!$U1214</f>
        <v>1112540</v>
      </c>
      <c r="E192" s="345">
        <f>+[12]BS17A!$V1214</f>
        <v>0</v>
      </c>
      <c r="F192" s="262"/>
    </row>
    <row r="193" spans="1:6" s="501" customFormat="1" ht="24.75" customHeight="1" x14ac:dyDescent="0.2">
      <c r="A193" s="457" t="s">
        <v>284</v>
      </c>
      <c r="B193" s="461" t="s">
        <v>285</v>
      </c>
      <c r="C193" s="380">
        <f>+[12]BS17A!$D1215</f>
        <v>0</v>
      </c>
      <c r="D193" s="270">
        <f>+[12]BS17A!$U1215</f>
        <v>1165530</v>
      </c>
      <c r="E193" s="345">
        <f>+[12]BS17A!$V1215</f>
        <v>0</v>
      </c>
      <c r="F193" s="262"/>
    </row>
    <row r="194" spans="1:6" s="501" customFormat="1" ht="12.75" customHeight="1" x14ac:dyDescent="0.2">
      <c r="A194" s="435" t="s">
        <v>286</v>
      </c>
      <c r="B194" s="461" t="s">
        <v>287</v>
      </c>
      <c r="C194" s="380">
        <f>+[12]BS17A!$D1216</f>
        <v>0</v>
      </c>
      <c r="D194" s="270">
        <f>+[12]BS17A!$U1216</f>
        <v>164930</v>
      </c>
      <c r="E194" s="345">
        <f>+[12]BS17A!$V1216</f>
        <v>0</v>
      </c>
      <c r="F194" s="262"/>
    </row>
    <row r="195" spans="1:6" s="501" customFormat="1" ht="12.75" customHeight="1" x14ac:dyDescent="0.2">
      <c r="A195" s="435" t="s">
        <v>288</v>
      </c>
      <c r="B195" s="461" t="s">
        <v>289</v>
      </c>
      <c r="C195" s="380">
        <f>+[12]BS17A!$D1217</f>
        <v>0</v>
      </c>
      <c r="D195" s="270">
        <f>+[12]BS17A!$U1217</f>
        <v>376370</v>
      </c>
      <c r="E195" s="345">
        <f>+[12]BS17A!$V1217</f>
        <v>0</v>
      </c>
      <c r="F195" s="262"/>
    </row>
    <row r="196" spans="1:6" s="501" customFormat="1" ht="12.75" customHeight="1" x14ac:dyDescent="0.2">
      <c r="A196" s="457" t="s">
        <v>290</v>
      </c>
      <c r="B196" s="461" t="s">
        <v>291</v>
      </c>
      <c r="C196" s="380">
        <f>+[12]BS17A!$D1218</f>
        <v>0</v>
      </c>
      <c r="D196" s="270">
        <f>+[12]BS17A!$U1218</f>
        <v>139530</v>
      </c>
      <c r="E196" s="345">
        <f>+[12]BS17A!$V1218</f>
        <v>0</v>
      </c>
      <c r="F196" s="262"/>
    </row>
    <row r="197" spans="1:6" s="501" customFormat="1" ht="12.75" customHeight="1" x14ac:dyDescent="0.2">
      <c r="A197" s="457" t="s">
        <v>292</v>
      </c>
      <c r="B197" s="461" t="s">
        <v>293</v>
      </c>
      <c r="C197" s="380">
        <f>+[12]BS17A!$D1219</f>
        <v>0</v>
      </c>
      <c r="D197" s="270">
        <f>+[12]BS17A!$U1219</f>
        <v>1130520</v>
      </c>
      <c r="E197" s="345">
        <f>+[12]BS17A!$V1219</f>
        <v>0</v>
      </c>
      <c r="F197" s="262"/>
    </row>
    <row r="198" spans="1:6" s="501" customFormat="1" ht="12.75" customHeight="1" x14ac:dyDescent="0.2">
      <c r="A198" s="457" t="s">
        <v>294</v>
      </c>
      <c r="B198" s="461" t="s">
        <v>295</v>
      </c>
      <c r="C198" s="380">
        <f>+[12]BS17A!$D1220</f>
        <v>0</v>
      </c>
      <c r="D198" s="270">
        <f>+[12]BS17A!$U1220</f>
        <v>1130520</v>
      </c>
      <c r="E198" s="345">
        <f>+[12]BS17A!$V1220</f>
        <v>0</v>
      </c>
      <c r="F198" s="262"/>
    </row>
    <row r="199" spans="1:6" s="501" customFormat="1" ht="12.75" customHeight="1" x14ac:dyDescent="0.2">
      <c r="A199" s="457">
        <v>1801001</v>
      </c>
      <c r="B199" s="459" t="s">
        <v>296</v>
      </c>
      <c r="C199" s="380">
        <f>+[12]BS17A!$D1354</f>
        <v>91</v>
      </c>
      <c r="D199" s="270">
        <f>+[12]BS17A!$U1354</f>
        <v>33720</v>
      </c>
      <c r="E199" s="345">
        <f>+[12]BS17A!$V1354</f>
        <v>3068520</v>
      </c>
      <c r="F199" s="262"/>
    </row>
    <row r="200" spans="1:6" s="501" customFormat="1" ht="12.75" customHeight="1" x14ac:dyDescent="0.2">
      <c r="A200" s="457">
        <v>1801003</v>
      </c>
      <c r="B200" s="461" t="s">
        <v>297</v>
      </c>
      <c r="C200" s="380">
        <f>+[12]BS17A!$D1355</f>
        <v>0</v>
      </c>
      <c r="D200" s="270">
        <f>+[12]BS17A!$U1355</f>
        <v>40670</v>
      </c>
      <c r="E200" s="345">
        <f>+[12]BS17A!$V1355</f>
        <v>0</v>
      </c>
      <c r="F200" s="262"/>
    </row>
    <row r="201" spans="1:6" s="501" customFormat="1" ht="12.75" customHeight="1" x14ac:dyDescent="0.2">
      <c r="A201" s="457">
        <v>1801006</v>
      </c>
      <c r="B201" s="459" t="s">
        <v>298</v>
      </c>
      <c r="C201" s="380">
        <f>+[12]BS17A!$D1356</f>
        <v>7</v>
      </c>
      <c r="D201" s="270">
        <f>+[12]BS17A!$U1356</f>
        <v>43320</v>
      </c>
      <c r="E201" s="345">
        <f>+[12]BS17A!$V1356</f>
        <v>303240</v>
      </c>
      <c r="F201" s="262"/>
    </row>
    <row r="202" spans="1:6" s="501" customFormat="1" ht="24.75" customHeight="1" x14ac:dyDescent="0.2">
      <c r="A202" s="457" t="s">
        <v>299</v>
      </c>
      <c r="B202" s="459" t="s">
        <v>300</v>
      </c>
      <c r="C202" s="380">
        <f>[12]BS17A!D1036</f>
        <v>2</v>
      </c>
      <c r="D202" s="270">
        <f>[12]BS17A!U1036</f>
        <v>9120</v>
      </c>
      <c r="E202" s="345">
        <f>[12]BS17A!V1036</f>
        <v>18240</v>
      </c>
      <c r="F202" s="262"/>
    </row>
    <row r="203" spans="1:6" s="501" customFormat="1" ht="24.75" customHeight="1" x14ac:dyDescent="0.2">
      <c r="A203" s="464" t="s">
        <v>301</v>
      </c>
      <c r="B203" s="462" t="s">
        <v>302</v>
      </c>
      <c r="C203" s="417">
        <f>[12]BS17A!D807</f>
        <v>0</v>
      </c>
      <c r="D203" s="355">
        <f>[12]BS17A!U807</f>
        <v>386950</v>
      </c>
      <c r="E203" s="356">
        <f>[12]BS17A!V807</f>
        <v>0</v>
      </c>
      <c r="F203" s="262"/>
    </row>
    <row r="204" spans="1:6" s="501" customFormat="1" ht="17.25" customHeight="1" x14ac:dyDescent="0.2">
      <c r="A204" s="442"/>
      <c r="B204" s="441" t="s">
        <v>303</v>
      </c>
      <c r="C204" s="279">
        <f>SUM(C173:C203)</f>
        <v>923</v>
      </c>
      <c r="D204" s="348"/>
      <c r="E204" s="349">
        <f>SUM(E173:E203)</f>
        <v>14459830</v>
      </c>
      <c r="F204" s="262"/>
    </row>
    <row r="205" spans="1:6" s="501" customFormat="1" ht="21.75" customHeight="1" x14ac:dyDescent="0.2">
      <c r="A205" s="262"/>
      <c r="B205" s="262"/>
      <c r="C205" s="262"/>
      <c r="D205" s="262"/>
      <c r="E205" s="262"/>
      <c r="F205" s="262"/>
    </row>
    <row r="206" spans="1:6" s="501" customFormat="1" ht="19.5" customHeight="1" x14ac:dyDescent="0.2">
      <c r="A206" s="262"/>
      <c r="B206" s="262"/>
      <c r="C206" s="262"/>
      <c r="D206" s="262"/>
      <c r="E206" s="262"/>
      <c r="F206" s="262"/>
    </row>
    <row r="207" spans="1:6" s="501" customFormat="1" ht="18" customHeight="1" x14ac:dyDescent="0.2">
      <c r="A207" s="583" t="s">
        <v>304</v>
      </c>
      <c r="B207" s="584"/>
      <c r="C207" s="584"/>
      <c r="D207" s="584"/>
      <c r="E207" s="585"/>
      <c r="F207" s="259"/>
    </row>
    <row r="208" spans="1:6" s="501" customFormat="1" ht="39.75" customHeight="1" x14ac:dyDescent="0.2">
      <c r="A208" s="264" t="s">
        <v>8</v>
      </c>
      <c r="B208" s="264" t="s">
        <v>9</v>
      </c>
      <c r="C208" s="535" t="s">
        <v>10</v>
      </c>
      <c r="D208" s="310" t="s">
        <v>11</v>
      </c>
      <c r="E208" s="537" t="s">
        <v>12</v>
      </c>
      <c r="F208" s="259"/>
    </row>
    <row r="209" spans="1:6" s="501" customFormat="1" ht="12.75" customHeight="1" x14ac:dyDescent="0.2">
      <c r="A209" s="434" t="s">
        <v>305</v>
      </c>
      <c r="B209" s="451" t="s">
        <v>306</v>
      </c>
      <c r="C209" s="383">
        <f>+[12]BS17A!$D18</f>
        <v>0</v>
      </c>
      <c r="D209" s="275">
        <f>+[12]BS17A!$U18</f>
        <v>14110</v>
      </c>
      <c r="E209" s="344">
        <f>+[12]BS17A!$V18</f>
        <v>0</v>
      </c>
      <c r="F209" s="262"/>
    </row>
    <row r="210" spans="1:6" s="501" customFormat="1" ht="12.75" customHeight="1" x14ac:dyDescent="0.2">
      <c r="A210" s="435" t="s">
        <v>307</v>
      </c>
      <c r="B210" s="431" t="s">
        <v>308</v>
      </c>
      <c r="C210" s="380">
        <f>+[12]BS17A!$D19</f>
        <v>126</v>
      </c>
      <c r="D210" s="270">
        <f>+[12]BS17A!$U19</f>
        <v>14110</v>
      </c>
      <c r="E210" s="345">
        <f>+[12]BS17A!$V19</f>
        <v>1777860</v>
      </c>
      <c r="F210" s="262"/>
    </row>
    <row r="211" spans="1:6" s="501" customFormat="1" ht="12.75" customHeight="1" x14ac:dyDescent="0.2">
      <c r="A211" s="435" t="s">
        <v>309</v>
      </c>
      <c r="B211" s="430" t="s">
        <v>310</v>
      </c>
      <c r="C211" s="380">
        <f>+[12]BS17A!$D47</f>
        <v>0</v>
      </c>
      <c r="D211" s="270">
        <f>+[12]BS17A!$U47</f>
        <v>1350</v>
      </c>
      <c r="E211" s="345">
        <f>+[12]BS17A!$V47</f>
        <v>0</v>
      </c>
      <c r="F211" s="262"/>
    </row>
    <row r="212" spans="1:6" s="501" customFormat="1" ht="12.75" customHeight="1" x14ac:dyDescent="0.2">
      <c r="A212" s="435" t="s">
        <v>311</v>
      </c>
      <c r="B212" s="430" t="s">
        <v>312</v>
      </c>
      <c r="C212" s="380">
        <f>+[12]BS17A!$D48</f>
        <v>497</v>
      </c>
      <c r="D212" s="270">
        <f>+[12]BS17A!$U48</f>
        <v>660</v>
      </c>
      <c r="E212" s="345">
        <f>+[12]BS17A!$V48</f>
        <v>328020</v>
      </c>
      <c r="F212" s="262"/>
    </row>
    <row r="213" spans="1:6" s="501" customFormat="1" ht="12.75" customHeight="1" x14ac:dyDescent="0.2">
      <c r="A213" s="435" t="s">
        <v>313</v>
      </c>
      <c r="B213" s="431" t="s">
        <v>314</v>
      </c>
      <c r="C213" s="380">
        <f>+[12]BS17A!$D49</f>
        <v>436</v>
      </c>
      <c r="D213" s="270">
        <f>+[12]BS17A!$U49</f>
        <v>2000</v>
      </c>
      <c r="E213" s="345">
        <f>+[12]BS17A!$V49</f>
        <v>872000</v>
      </c>
      <c r="F213" s="262"/>
    </row>
    <row r="214" spans="1:6" s="501" customFormat="1" ht="12.75" customHeight="1" x14ac:dyDescent="0.2">
      <c r="A214" s="435" t="s">
        <v>315</v>
      </c>
      <c r="B214" s="431" t="s">
        <v>316</v>
      </c>
      <c r="C214" s="380">
        <f>+[12]BS17A!$D50</f>
        <v>57</v>
      </c>
      <c r="D214" s="270">
        <f>+[12]BS17A!$U50</f>
        <v>15030</v>
      </c>
      <c r="E214" s="345">
        <f>+[12]BS17A!$V50</f>
        <v>856710</v>
      </c>
      <c r="F214" s="262"/>
    </row>
    <row r="215" spans="1:6" s="501" customFormat="1" ht="12.75" customHeight="1" x14ac:dyDescent="0.2">
      <c r="A215" s="435" t="s">
        <v>317</v>
      </c>
      <c r="B215" s="430" t="s">
        <v>318</v>
      </c>
      <c r="C215" s="380">
        <f>+[12]BS17A!$D51</f>
        <v>111</v>
      </c>
      <c r="D215" s="270">
        <f>+[12]BS17A!$U51</f>
        <v>34510</v>
      </c>
      <c r="E215" s="345">
        <f>+[12]BS17A!$V51</f>
        <v>3830610</v>
      </c>
      <c r="F215" s="262"/>
    </row>
    <row r="216" spans="1:6" s="501" customFormat="1" ht="12.75" customHeight="1" x14ac:dyDescent="0.2">
      <c r="A216" s="457" t="s">
        <v>319</v>
      </c>
      <c r="B216" s="430" t="s">
        <v>320</v>
      </c>
      <c r="C216" s="380">
        <f>+[12]BS17A!D52</f>
        <v>30</v>
      </c>
      <c r="D216" s="357"/>
      <c r="E216" s="345">
        <f>+[12]BS17A!V52</f>
        <v>258300</v>
      </c>
      <c r="F216" s="262"/>
    </row>
    <row r="217" spans="1:6" s="501" customFormat="1" ht="12.75" customHeight="1" x14ac:dyDescent="0.2">
      <c r="A217" s="436" t="s">
        <v>321</v>
      </c>
      <c r="B217" s="432" t="s">
        <v>322</v>
      </c>
      <c r="C217" s="395">
        <f>+[12]BS17A!$D1861</f>
        <v>6</v>
      </c>
      <c r="D217" s="277">
        <f>+[12]BS17A!$U1861</f>
        <v>27970</v>
      </c>
      <c r="E217" s="350">
        <f>+[12]BS17A!$V1861</f>
        <v>167820</v>
      </c>
      <c r="F217" s="262"/>
    </row>
    <row r="218" spans="1:6" s="501" customFormat="1" ht="12.75" x14ac:dyDescent="0.2">
      <c r="A218" s="442"/>
      <c r="B218" s="441" t="s">
        <v>323</v>
      </c>
      <c r="C218" s="279">
        <f>SUM(C209:C217)</f>
        <v>1263</v>
      </c>
      <c r="D218" s="348"/>
      <c r="E218" s="356">
        <f>SUM(E209:E217)</f>
        <v>8091320</v>
      </c>
      <c r="F218" s="262"/>
    </row>
    <row r="219" spans="1:6" s="501" customFormat="1" ht="17.25" customHeight="1" x14ac:dyDescent="0.2">
      <c r="A219" s="262"/>
      <c r="B219" s="262"/>
      <c r="C219" s="262"/>
      <c r="D219" s="262"/>
      <c r="E219" s="262"/>
      <c r="F219" s="262"/>
    </row>
    <row r="220" spans="1:6" s="501" customFormat="1" ht="18" customHeight="1" x14ac:dyDescent="0.2">
      <c r="A220" s="262"/>
      <c r="B220" s="262"/>
      <c r="C220" s="262"/>
      <c r="D220" s="262"/>
      <c r="E220" s="262"/>
      <c r="F220" s="262"/>
    </row>
    <row r="221" spans="1:6" s="501" customFormat="1" ht="27.75" customHeight="1" x14ac:dyDescent="0.2">
      <c r="A221" s="605" t="s">
        <v>324</v>
      </c>
      <c r="B221" s="606"/>
      <c r="C221" s="607"/>
      <c r="D221" s="262"/>
      <c r="E221" s="262"/>
      <c r="F221" s="259"/>
    </row>
    <row r="222" spans="1:6" s="501" customFormat="1" ht="42.75" customHeight="1" x14ac:dyDescent="0.2">
      <c r="A222" s="264" t="s">
        <v>8</v>
      </c>
      <c r="B222" s="264" t="s">
        <v>10</v>
      </c>
      <c r="C222" s="264" t="s">
        <v>12</v>
      </c>
      <c r="D222" s="259"/>
      <c r="E222" s="262"/>
      <c r="F222" s="262"/>
    </row>
    <row r="223" spans="1:6" s="501" customFormat="1" ht="15" customHeight="1" x14ac:dyDescent="0.2">
      <c r="A223" s="434" t="s">
        <v>325</v>
      </c>
      <c r="B223" s="452" t="s">
        <v>326</v>
      </c>
      <c r="C223" s="358"/>
      <c r="D223" s="359"/>
      <c r="E223" s="262"/>
      <c r="F223" s="262"/>
    </row>
    <row r="224" spans="1:6" s="501" customFormat="1" ht="15" customHeight="1" x14ac:dyDescent="0.2">
      <c r="A224" s="455" t="s">
        <v>327</v>
      </c>
      <c r="B224" s="453" t="s">
        <v>328</v>
      </c>
      <c r="C224" s="360"/>
      <c r="D224" s="359"/>
      <c r="E224" s="262"/>
      <c r="F224" s="262"/>
    </row>
    <row r="225" spans="1:7" s="501" customFormat="1" ht="18" customHeight="1" x14ac:dyDescent="0.2">
      <c r="A225" s="456"/>
      <c r="B225" s="454" t="s">
        <v>329</v>
      </c>
      <c r="C225" s="416">
        <f>SUM(C223:C224)</f>
        <v>0</v>
      </c>
      <c r="D225" s="359"/>
      <c r="E225" s="262"/>
      <c r="F225" s="262"/>
    </row>
    <row r="226" spans="1:7" s="501" customFormat="1" ht="18" customHeight="1" x14ac:dyDescent="0.2">
      <c r="A226" s="262"/>
      <c r="B226" s="262"/>
      <c r="C226" s="262"/>
      <c r="D226" s="359"/>
      <c r="E226" s="359"/>
      <c r="F226" s="359"/>
    </row>
    <row r="227" spans="1:7" s="501" customFormat="1" ht="18" customHeight="1" x14ac:dyDescent="0.2">
      <c r="A227" s="262"/>
      <c r="B227" s="262"/>
      <c r="C227" s="262"/>
      <c r="D227" s="262"/>
      <c r="E227" s="262"/>
      <c r="F227" s="359"/>
      <c r="G227" s="361"/>
    </row>
    <row r="228" spans="1:7" s="501" customFormat="1" ht="18" customHeight="1" x14ac:dyDescent="0.2">
      <c r="A228" s="583" t="s">
        <v>330</v>
      </c>
      <c r="B228" s="584"/>
      <c r="C228" s="584"/>
      <c r="D228" s="584"/>
      <c r="E228" s="585"/>
      <c r="F228" s="359"/>
      <c r="G228" s="361"/>
    </row>
    <row r="229" spans="1:7" s="501" customFormat="1" ht="56.25" customHeight="1" x14ac:dyDescent="0.2">
      <c r="A229" s="264" t="s">
        <v>8</v>
      </c>
      <c r="B229" s="264" t="s">
        <v>9</v>
      </c>
      <c r="C229" s="535" t="s">
        <v>10</v>
      </c>
      <c r="D229" s="310" t="s">
        <v>11</v>
      </c>
      <c r="E229" s="537" t="s">
        <v>12</v>
      </c>
      <c r="F229" s="359"/>
      <c r="G229" s="361"/>
    </row>
    <row r="230" spans="1:7" s="501" customFormat="1" ht="15" customHeight="1" x14ac:dyDescent="0.2">
      <c r="A230" s="434" t="s">
        <v>331</v>
      </c>
      <c r="B230" s="451" t="s">
        <v>332</v>
      </c>
      <c r="C230" s="414">
        <f>+[12]BS17A!$D1941</f>
        <v>375</v>
      </c>
      <c r="D230" s="275">
        <f>+[12]BS17A!$U1941</f>
        <v>19310</v>
      </c>
      <c r="E230" s="344">
        <f>+[12]BS17A!$V1941</f>
        <v>7241250</v>
      </c>
      <c r="F230" s="262"/>
    </row>
    <row r="231" spans="1:7" s="501" customFormat="1" ht="15" customHeight="1" x14ac:dyDescent="0.2">
      <c r="A231" s="436" t="s">
        <v>333</v>
      </c>
      <c r="B231" s="432" t="s">
        <v>334</v>
      </c>
      <c r="C231" s="415">
        <f>+[12]BS17A!$D1942</f>
        <v>0</v>
      </c>
      <c r="D231" s="277">
        <f>+[12]BS17A!$U1942</f>
        <v>242060</v>
      </c>
      <c r="E231" s="350">
        <f>+[12]BS17A!$V1942</f>
        <v>0</v>
      </c>
      <c r="F231" s="262"/>
    </row>
    <row r="232" spans="1:7" s="501" customFormat="1" ht="18" customHeight="1" x14ac:dyDescent="0.2">
      <c r="A232" s="442"/>
      <c r="B232" s="441" t="s">
        <v>335</v>
      </c>
      <c r="C232" s="279">
        <f>SUM(C230:C231)</f>
        <v>375</v>
      </c>
      <c r="D232" s="348"/>
      <c r="E232" s="349">
        <f>SUM(E230:E231)</f>
        <v>7241250</v>
      </c>
      <c r="F232" s="262"/>
    </row>
    <row r="233" spans="1:7" s="501" customFormat="1" ht="18" customHeight="1" x14ac:dyDescent="0.2">
      <c r="A233" s="362"/>
      <c r="B233" s="363"/>
      <c r="C233" s="364"/>
      <c r="D233" s="362"/>
      <c r="E233" s="362"/>
      <c r="F233" s="262"/>
    </row>
    <row r="234" spans="1:7" s="501" customFormat="1" ht="18" customHeight="1" x14ac:dyDescent="0.2">
      <c r="A234" s="362"/>
      <c r="B234" s="363"/>
      <c r="C234" s="364"/>
      <c r="D234" s="362"/>
      <c r="E234" s="362"/>
      <c r="F234" s="262"/>
    </row>
    <row r="235" spans="1:7" s="501" customFormat="1" ht="18" customHeight="1" x14ac:dyDescent="0.2">
      <c r="A235" s="591" t="s">
        <v>336</v>
      </c>
      <c r="B235" s="584"/>
      <c r="C235" s="584"/>
      <c r="D235" s="584"/>
      <c r="E235" s="585"/>
      <c r="F235" s="262"/>
    </row>
    <row r="236" spans="1:7" s="501" customFormat="1" ht="41.25" customHeight="1" x14ac:dyDescent="0.2">
      <c r="A236" s="264" t="s">
        <v>8</v>
      </c>
      <c r="B236" s="264" t="s">
        <v>9</v>
      </c>
      <c r="C236" s="535" t="s">
        <v>10</v>
      </c>
      <c r="D236" s="310" t="s">
        <v>11</v>
      </c>
      <c r="E236" s="537" t="s">
        <v>12</v>
      </c>
      <c r="F236" s="262"/>
    </row>
    <row r="237" spans="1:7" s="501" customFormat="1" ht="18" customHeight="1" x14ac:dyDescent="0.2">
      <c r="A237" s="341" t="s">
        <v>337</v>
      </c>
      <c r="B237" s="287" t="s">
        <v>338</v>
      </c>
      <c r="C237" s="365">
        <f>[12]BS17A!D768</f>
        <v>674</v>
      </c>
      <c r="D237" s="366"/>
      <c r="E237" s="367">
        <f>[12]BS17A!V768</f>
        <v>4757750</v>
      </c>
      <c r="F237" s="262"/>
    </row>
    <row r="238" spans="1:7" s="501" customFormat="1" ht="18" customHeight="1" x14ac:dyDescent="0.2">
      <c r="A238" s="362"/>
      <c r="B238" s="363"/>
      <c r="C238" s="364"/>
      <c r="D238" s="362"/>
      <c r="E238" s="362"/>
      <c r="F238" s="262"/>
    </row>
    <row r="239" spans="1:7" s="501" customFormat="1" ht="18" customHeight="1" x14ac:dyDescent="0.2">
      <c r="A239" s="591" t="s">
        <v>339</v>
      </c>
      <c r="B239" s="592"/>
      <c r="C239" s="592"/>
      <c r="D239" s="592"/>
      <c r="E239" s="593"/>
      <c r="F239" s="262"/>
    </row>
    <row r="240" spans="1:7" s="501" customFormat="1" ht="43.5" customHeight="1" x14ac:dyDescent="0.2">
      <c r="A240" s="264" t="s">
        <v>8</v>
      </c>
      <c r="B240" s="535" t="s">
        <v>340</v>
      </c>
      <c r="C240" s="309" t="s">
        <v>341</v>
      </c>
      <c r="D240" s="310" t="s">
        <v>11</v>
      </c>
      <c r="E240" s="537" t="s">
        <v>12</v>
      </c>
      <c r="F240" s="262"/>
    </row>
    <row r="241" spans="1:6" s="501" customFormat="1" ht="15" customHeight="1" x14ac:dyDescent="0.2">
      <c r="A241" s="274" t="s">
        <v>342</v>
      </c>
      <c r="B241" s="397" t="s">
        <v>343</v>
      </c>
      <c r="C241" s="383">
        <f>+[12]BS17A!$D1944</f>
        <v>0</v>
      </c>
      <c r="D241" s="275">
        <f>+[12]BS17A!$U1944</f>
        <v>247230</v>
      </c>
      <c r="E241" s="344">
        <f>+[12]BS17A!$V1944</f>
        <v>0</v>
      </c>
      <c r="F241" s="262"/>
    </row>
    <row r="242" spans="1:6" s="501" customFormat="1" ht="15" customHeight="1" x14ac:dyDescent="0.2">
      <c r="A242" s="269" t="s">
        <v>344</v>
      </c>
      <c r="B242" s="398" t="s">
        <v>345</v>
      </c>
      <c r="C242" s="380">
        <f>+[12]BS17A!$D1945</f>
        <v>0</v>
      </c>
      <c r="D242" s="270">
        <f>+[12]BS17A!$U1945</f>
        <v>35130</v>
      </c>
      <c r="E242" s="345">
        <f>+[12]BS17A!$V1945</f>
        <v>0</v>
      </c>
      <c r="F242" s="262"/>
    </row>
    <row r="243" spans="1:6" s="501" customFormat="1" ht="15" customHeight="1" x14ac:dyDescent="0.2">
      <c r="A243" s="269" t="s">
        <v>346</v>
      </c>
      <c r="B243" s="398" t="s">
        <v>347</v>
      </c>
      <c r="C243" s="380">
        <f>+[12]BS17A!$D1946</f>
        <v>0</v>
      </c>
      <c r="D243" s="270">
        <f>+[12]BS17A!$U1946</f>
        <v>132520</v>
      </c>
      <c r="E243" s="345">
        <f>+[12]BS17A!$V1946</f>
        <v>0</v>
      </c>
      <c r="F243" s="262"/>
    </row>
    <row r="244" spans="1:6" s="501" customFormat="1" ht="15" customHeight="1" x14ac:dyDescent="0.2">
      <c r="A244" s="269" t="s">
        <v>348</v>
      </c>
      <c r="B244" s="398" t="s">
        <v>349</v>
      </c>
      <c r="C244" s="380">
        <f>+[12]BS17A!$D1947</f>
        <v>0</v>
      </c>
      <c r="D244" s="270">
        <f>+[12]BS17A!$U1947</f>
        <v>132520</v>
      </c>
      <c r="E244" s="345">
        <f>+[12]BS17A!$V1947</f>
        <v>0</v>
      </c>
      <c r="F244" s="262"/>
    </row>
    <row r="245" spans="1:6" s="501" customFormat="1" ht="15" customHeight="1" x14ac:dyDescent="0.2">
      <c r="A245" s="269" t="s">
        <v>350</v>
      </c>
      <c r="B245" s="398" t="s">
        <v>351</v>
      </c>
      <c r="C245" s="380">
        <f>+[12]BS17A!$D1948</f>
        <v>0</v>
      </c>
      <c r="D245" s="270">
        <f>+[12]BS17A!$U1948</f>
        <v>241260</v>
      </c>
      <c r="E245" s="345">
        <f>+[12]BS17A!$V1948</f>
        <v>0</v>
      </c>
      <c r="F245" s="262"/>
    </row>
    <row r="246" spans="1:6" s="501" customFormat="1" ht="15" customHeight="1" x14ac:dyDescent="0.2">
      <c r="A246" s="269" t="s">
        <v>352</v>
      </c>
      <c r="B246" s="398" t="s">
        <v>353</v>
      </c>
      <c r="C246" s="380">
        <f>+[12]BS17A!$D1949</f>
        <v>0</v>
      </c>
      <c r="D246" s="270">
        <f>+[12]BS17A!$U1949</f>
        <v>370240</v>
      </c>
      <c r="E246" s="345">
        <f>+[12]BS17A!$V1949</f>
        <v>0</v>
      </c>
      <c r="F246" s="262"/>
    </row>
    <row r="247" spans="1:6" s="501" customFormat="1" ht="15" customHeight="1" x14ac:dyDescent="0.2">
      <c r="A247" s="269" t="s">
        <v>354</v>
      </c>
      <c r="B247" s="398" t="s">
        <v>355</v>
      </c>
      <c r="C247" s="380">
        <f>+[12]BS17A!$D1950</f>
        <v>0</v>
      </c>
      <c r="D247" s="270">
        <f>+[12]BS17A!$U1950</f>
        <v>631610</v>
      </c>
      <c r="E247" s="345">
        <f>+[12]BS17A!$V1950</f>
        <v>0</v>
      </c>
      <c r="F247" s="262"/>
    </row>
    <row r="248" spans="1:6" s="501" customFormat="1" ht="15" customHeight="1" x14ac:dyDescent="0.2">
      <c r="A248" s="292" t="s">
        <v>356</v>
      </c>
      <c r="B248" s="398" t="s">
        <v>357</v>
      </c>
      <c r="C248" s="380">
        <f>+[12]BS17A!$D1951</f>
        <v>0</v>
      </c>
      <c r="D248" s="270">
        <f>+[12]BS17A!$U1951</f>
        <v>131550</v>
      </c>
      <c r="E248" s="345">
        <f>+[12]BS17A!$V1951</f>
        <v>0</v>
      </c>
      <c r="F248" s="262"/>
    </row>
    <row r="249" spans="1:6" s="501" customFormat="1" ht="15" customHeight="1" x14ac:dyDescent="0.2">
      <c r="A249" s="292" t="s">
        <v>358</v>
      </c>
      <c r="B249" s="398" t="s">
        <v>359</v>
      </c>
      <c r="C249" s="380">
        <f>+[12]BS17A!$D1952</f>
        <v>0</v>
      </c>
      <c r="D249" s="270">
        <f>+[12]BS17A!$U1952</f>
        <v>354560</v>
      </c>
      <c r="E249" s="345">
        <f>+[12]BS17A!$V1952</f>
        <v>0</v>
      </c>
      <c r="F249" s="262"/>
    </row>
    <row r="250" spans="1:6" s="501" customFormat="1" ht="15" customHeight="1" x14ac:dyDescent="0.2">
      <c r="A250" s="292" t="s">
        <v>360</v>
      </c>
      <c r="B250" s="398" t="s">
        <v>361</v>
      </c>
      <c r="C250" s="410">
        <f>+[12]BS17A!$D1953</f>
        <v>0</v>
      </c>
      <c r="D250" s="272">
        <f>+[12]BS17A!$U1953</f>
        <v>149290</v>
      </c>
      <c r="E250" s="368">
        <f>+[12]BS17A!$V1953</f>
        <v>0</v>
      </c>
      <c r="F250" s="262"/>
    </row>
    <row r="251" spans="1:6" s="501" customFormat="1" ht="15" customHeight="1" x14ac:dyDescent="0.2">
      <c r="A251" s="292" t="s">
        <v>362</v>
      </c>
      <c r="B251" s="398" t="s">
        <v>363</v>
      </c>
      <c r="C251" s="410">
        <f>+[12]BS17A!$D1954</f>
        <v>0</v>
      </c>
      <c r="D251" s="272">
        <f>+[12]BS17A!$U1954</f>
        <v>129730</v>
      </c>
      <c r="E251" s="368">
        <f>+[12]BS17A!$V1954</f>
        <v>0</v>
      </c>
      <c r="F251" s="262"/>
    </row>
    <row r="252" spans="1:6" s="501" customFormat="1" ht="15" customHeight="1" x14ac:dyDescent="0.2">
      <c r="A252" s="292" t="s">
        <v>364</v>
      </c>
      <c r="B252" s="398" t="s">
        <v>365</v>
      </c>
      <c r="C252" s="410">
        <f>+[12]BS17A!$D1955</f>
        <v>0</v>
      </c>
      <c r="D252" s="272">
        <f>+[12]BS17A!$U1955</f>
        <v>197230</v>
      </c>
      <c r="E252" s="368">
        <f>+[12]BS17A!$V1955</f>
        <v>0</v>
      </c>
      <c r="F252" s="262"/>
    </row>
    <row r="253" spans="1:6" s="501" customFormat="1" ht="15" customHeight="1" x14ac:dyDescent="0.2">
      <c r="A253" s="292" t="s">
        <v>366</v>
      </c>
      <c r="B253" s="398" t="s">
        <v>367</v>
      </c>
      <c r="C253" s="410">
        <f>+[12]BS17A!$D1956</f>
        <v>0</v>
      </c>
      <c r="D253" s="272">
        <f>+[12]BS17A!$U1956</f>
        <v>51900</v>
      </c>
      <c r="E253" s="368">
        <f>+[12]BS17A!$V1956</f>
        <v>0</v>
      </c>
      <c r="F253" s="262"/>
    </row>
    <row r="254" spans="1:6" s="501" customFormat="1" ht="15" customHeight="1" x14ac:dyDescent="0.2">
      <c r="A254" s="327" t="s">
        <v>368</v>
      </c>
      <c r="B254" s="409" t="s">
        <v>369</v>
      </c>
      <c r="C254" s="395">
        <f>+[12]BS17A!$D1957</f>
        <v>0</v>
      </c>
      <c r="D254" s="277">
        <f>+[12]BS17A!$U1957</f>
        <v>38790</v>
      </c>
      <c r="E254" s="350">
        <f>+[12]BS17A!$V1957</f>
        <v>0</v>
      </c>
      <c r="F254" s="262"/>
    </row>
    <row r="255" spans="1:6" s="501" customFormat="1" ht="15" customHeight="1" x14ac:dyDescent="0.2">
      <c r="A255" s="586" t="s">
        <v>370</v>
      </c>
      <c r="B255" s="587"/>
      <c r="C255" s="587"/>
      <c r="D255" s="587"/>
      <c r="E255" s="588"/>
      <c r="F255" s="262"/>
    </row>
    <row r="256" spans="1:6" s="501" customFormat="1" ht="15" customHeight="1" x14ac:dyDescent="0.2">
      <c r="A256" s="434" t="s">
        <v>371</v>
      </c>
      <c r="B256" s="448" t="s">
        <v>343</v>
      </c>
      <c r="C256" s="383">
        <f>+[12]BS17A!$D1958</f>
        <v>0</v>
      </c>
      <c r="D256" s="275">
        <f>+[12]BS17A!$U1958</f>
        <v>212700</v>
      </c>
      <c r="E256" s="344">
        <f>+[12]BS17A!$V1958</f>
        <v>0</v>
      </c>
      <c r="F256" s="262"/>
    </row>
    <row r="257" spans="1:6" s="501" customFormat="1" ht="15" customHeight="1" x14ac:dyDescent="0.2">
      <c r="A257" s="435" t="s">
        <v>372</v>
      </c>
      <c r="B257" s="449" t="s">
        <v>373</v>
      </c>
      <c r="C257" s="380">
        <f>+[12]BS17A!$D1959</f>
        <v>0</v>
      </c>
      <c r="D257" s="270">
        <f>+[12]BS17A!$U1959</f>
        <v>1265290</v>
      </c>
      <c r="E257" s="345">
        <f>+[12]BS17A!$V1959</f>
        <v>0</v>
      </c>
      <c r="F257" s="262"/>
    </row>
    <row r="258" spans="1:6" s="501" customFormat="1" ht="15" customHeight="1" x14ac:dyDescent="0.2">
      <c r="A258" s="435" t="s">
        <v>374</v>
      </c>
      <c r="B258" s="449" t="s">
        <v>375</v>
      </c>
      <c r="C258" s="380">
        <f>+[12]BS17A!$D1960</f>
        <v>0</v>
      </c>
      <c r="D258" s="270">
        <f>+[12]BS17A!$U1960</f>
        <v>190900</v>
      </c>
      <c r="E258" s="345">
        <f>+[12]BS17A!$V1960</f>
        <v>0</v>
      </c>
      <c r="F258" s="262"/>
    </row>
    <row r="259" spans="1:6" s="501" customFormat="1" ht="15" customHeight="1" x14ac:dyDescent="0.2">
      <c r="A259" s="435" t="s">
        <v>376</v>
      </c>
      <c r="B259" s="449" t="s">
        <v>377</v>
      </c>
      <c r="C259" s="380">
        <f>+[12]BS17A!$D1961</f>
        <v>0</v>
      </c>
      <c r="D259" s="270">
        <f>+[12]BS17A!$U1961</f>
        <v>168820</v>
      </c>
      <c r="E259" s="345">
        <f>+[12]BS17A!$V1961</f>
        <v>0</v>
      </c>
      <c r="F259" s="262"/>
    </row>
    <row r="260" spans="1:6" s="501" customFormat="1" ht="15" customHeight="1" x14ac:dyDescent="0.2">
      <c r="A260" s="435" t="s">
        <v>378</v>
      </c>
      <c r="B260" s="449" t="s">
        <v>379</v>
      </c>
      <c r="C260" s="380">
        <f>+[12]BS17A!$D1962</f>
        <v>0</v>
      </c>
      <c r="D260" s="270">
        <f>+[12]BS17A!$U1962</f>
        <v>342700</v>
      </c>
      <c r="E260" s="345">
        <f>+[12]BS17A!$V1962</f>
        <v>0</v>
      </c>
      <c r="F260" s="262"/>
    </row>
    <row r="261" spans="1:6" s="501" customFormat="1" ht="15" customHeight="1" x14ac:dyDescent="0.2">
      <c r="A261" s="435" t="s">
        <v>380</v>
      </c>
      <c r="B261" s="449" t="s">
        <v>381</v>
      </c>
      <c r="C261" s="380">
        <f>+[12]BS17A!$D1963</f>
        <v>0</v>
      </c>
      <c r="D261" s="270">
        <f>+[12]BS17A!$U1963</f>
        <v>1139590</v>
      </c>
      <c r="E261" s="345">
        <f>+[12]BS17A!$V1963</f>
        <v>0</v>
      </c>
      <c r="F261" s="262"/>
    </row>
    <row r="262" spans="1:6" s="501" customFormat="1" ht="15" customHeight="1" x14ac:dyDescent="0.2">
      <c r="A262" s="435" t="s">
        <v>382</v>
      </c>
      <c r="B262" s="449" t="s">
        <v>383</v>
      </c>
      <c r="C262" s="380">
        <f>+[12]BS17A!$D1964</f>
        <v>0</v>
      </c>
      <c r="D262" s="270">
        <f>+[12]BS17A!$U1964</f>
        <v>1171120</v>
      </c>
      <c r="E262" s="345">
        <f>+[12]BS17A!$V1964</f>
        <v>0</v>
      </c>
      <c r="F262" s="262"/>
    </row>
    <row r="263" spans="1:6" s="501" customFormat="1" ht="15" customHeight="1" x14ac:dyDescent="0.2">
      <c r="A263" s="435" t="s">
        <v>384</v>
      </c>
      <c r="B263" s="449" t="s">
        <v>385</v>
      </c>
      <c r="C263" s="380">
        <f>+[12]BS17A!$D1965</f>
        <v>0</v>
      </c>
      <c r="D263" s="270">
        <f>+[12]BS17A!$U1965</f>
        <v>927270</v>
      </c>
      <c r="E263" s="345">
        <f>+[12]BS17A!$V1965</f>
        <v>0</v>
      </c>
      <c r="F263" s="262"/>
    </row>
    <row r="264" spans="1:6" s="501" customFormat="1" ht="15" customHeight="1" x14ac:dyDescent="0.2">
      <c r="A264" s="435" t="s">
        <v>386</v>
      </c>
      <c r="B264" s="449" t="s">
        <v>387</v>
      </c>
      <c r="C264" s="380">
        <f>+[12]BS17A!$D1966</f>
        <v>0</v>
      </c>
      <c r="D264" s="270">
        <f>+[12]BS17A!$U1966</f>
        <v>977250</v>
      </c>
      <c r="E264" s="345">
        <f>+[12]BS17A!$V1966</f>
        <v>0</v>
      </c>
      <c r="F264" s="262"/>
    </row>
    <row r="265" spans="1:6" s="501" customFormat="1" ht="15" customHeight="1" x14ac:dyDescent="0.2">
      <c r="A265" s="435" t="s">
        <v>388</v>
      </c>
      <c r="B265" s="449" t="s">
        <v>389</v>
      </c>
      <c r="C265" s="380">
        <f>+[12]BS17A!$D1967</f>
        <v>0</v>
      </c>
      <c r="D265" s="270">
        <f>+[12]BS17A!$U1967</f>
        <v>385520</v>
      </c>
      <c r="E265" s="345">
        <f>+[12]BS17A!$V1967</f>
        <v>0</v>
      </c>
      <c r="F265" s="262"/>
    </row>
    <row r="266" spans="1:6" s="501" customFormat="1" ht="15" customHeight="1" x14ac:dyDescent="0.2">
      <c r="A266" s="435" t="s">
        <v>390</v>
      </c>
      <c r="B266" s="449" t="s">
        <v>391</v>
      </c>
      <c r="C266" s="380">
        <f>+[12]BS17A!$D1968</f>
        <v>0</v>
      </c>
      <c r="D266" s="270">
        <f>+[12]BS17A!$U1968</f>
        <v>92330</v>
      </c>
      <c r="E266" s="345">
        <f>+[12]BS17A!$V1968</f>
        <v>0</v>
      </c>
      <c r="F266" s="262"/>
    </row>
    <row r="267" spans="1:6" s="501" customFormat="1" ht="15" customHeight="1" x14ac:dyDescent="0.2">
      <c r="A267" s="435" t="s">
        <v>392</v>
      </c>
      <c r="B267" s="449" t="s">
        <v>393</v>
      </c>
      <c r="C267" s="380">
        <f>+[12]BS17A!$D1969</f>
        <v>0</v>
      </c>
      <c r="D267" s="270">
        <f>+[12]BS17A!$U1969</f>
        <v>275450</v>
      </c>
      <c r="E267" s="345">
        <f>+[12]BS17A!$V1969</f>
        <v>0</v>
      </c>
      <c r="F267" s="262"/>
    </row>
    <row r="268" spans="1:6" s="501" customFormat="1" ht="15" customHeight="1" x14ac:dyDescent="0.2">
      <c r="A268" s="435" t="s">
        <v>394</v>
      </c>
      <c r="B268" s="431" t="s">
        <v>395</v>
      </c>
      <c r="C268" s="380">
        <f>+[12]BS17A!$D1970</f>
        <v>0</v>
      </c>
      <c r="D268" s="270">
        <f>+[12]BS17A!$U1970</f>
        <v>77880</v>
      </c>
      <c r="E268" s="345">
        <f>+[12]BS17A!$V1970</f>
        <v>0</v>
      </c>
      <c r="F268" s="262"/>
    </row>
    <row r="269" spans="1:6" s="501" customFormat="1" ht="15" customHeight="1" x14ac:dyDescent="0.2">
      <c r="A269" s="435" t="s">
        <v>396</v>
      </c>
      <c r="B269" s="431" t="s">
        <v>397</v>
      </c>
      <c r="C269" s="380">
        <f>+[12]BS17A!$D1971</f>
        <v>0</v>
      </c>
      <c r="D269" s="270">
        <f>+[12]BS17A!$U1971</f>
        <v>1338250</v>
      </c>
      <c r="E269" s="345">
        <f>+[12]BS17A!$V1971</f>
        <v>0</v>
      </c>
      <c r="F269" s="262"/>
    </row>
    <row r="270" spans="1:6" s="501" customFormat="1" ht="15" customHeight="1" x14ac:dyDescent="0.2">
      <c r="A270" s="435" t="s">
        <v>398</v>
      </c>
      <c r="B270" s="431" t="s">
        <v>399</v>
      </c>
      <c r="C270" s="380">
        <f>+[12]BS17A!$D1972</f>
        <v>0</v>
      </c>
      <c r="D270" s="270">
        <f>+[12]BS17A!$U1972</f>
        <v>312910</v>
      </c>
      <c r="E270" s="345">
        <f>+[12]BS17A!$V1972</f>
        <v>0</v>
      </c>
      <c r="F270" s="262"/>
    </row>
    <row r="271" spans="1:6" s="501" customFormat="1" ht="15" customHeight="1" x14ac:dyDescent="0.2">
      <c r="A271" s="435" t="s">
        <v>400</v>
      </c>
      <c r="B271" s="431" t="s">
        <v>401</v>
      </c>
      <c r="C271" s="380">
        <f>+[12]BS17A!$D1973</f>
        <v>0</v>
      </c>
      <c r="D271" s="270">
        <f>+[12]BS17A!$U1973</f>
        <v>1048270</v>
      </c>
      <c r="E271" s="345">
        <f>+[12]BS17A!$V1973</f>
        <v>0</v>
      </c>
      <c r="F271" s="262"/>
    </row>
    <row r="272" spans="1:6" s="501" customFormat="1" ht="15" customHeight="1" x14ac:dyDescent="0.2">
      <c r="A272" s="435" t="s">
        <v>402</v>
      </c>
      <c r="B272" s="450" t="s">
        <v>403</v>
      </c>
      <c r="C272" s="380">
        <f>+[12]BS17A!$D1974</f>
        <v>0</v>
      </c>
      <c r="D272" s="270">
        <f>+[12]BS17A!$U1974</f>
        <v>641750</v>
      </c>
      <c r="E272" s="345">
        <f>+[12]BS17A!$V1974</f>
        <v>0</v>
      </c>
      <c r="F272" s="262"/>
    </row>
    <row r="273" spans="1:10" s="501" customFormat="1" ht="15" customHeight="1" x14ac:dyDescent="0.2">
      <c r="A273" s="436" t="s">
        <v>404</v>
      </c>
      <c r="B273" s="450" t="s">
        <v>405</v>
      </c>
      <c r="C273" s="395">
        <f>+[12]BS17A!$D1975</f>
        <v>0</v>
      </c>
      <c r="D273" s="272">
        <f>+[12]BS17A!$U1975</f>
        <v>523710</v>
      </c>
      <c r="E273" s="368">
        <f>+[12]BS17A!$V1975</f>
        <v>0</v>
      </c>
      <c r="F273" s="262"/>
    </row>
    <row r="274" spans="1:10" s="501" customFormat="1" ht="15" customHeight="1" x14ac:dyDescent="0.2">
      <c r="A274" s="586" t="s">
        <v>406</v>
      </c>
      <c r="B274" s="587"/>
      <c r="C274" s="587"/>
      <c r="D274" s="587"/>
      <c r="E274" s="588"/>
      <c r="F274" s="262"/>
    </row>
    <row r="275" spans="1:10" s="501" customFormat="1" ht="15" customHeight="1" x14ac:dyDescent="0.2">
      <c r="A275" s="434" t="s">
        <v>407</v>
      </c>
      <c r="B275" s="443" t="s">
        <v>408</v>
      </c>
      <c r="C275" s="412">
        <f>+[12]BS17A!$D1976</f>
        <v>0</v>
      </c>
      <c r="D275" s="267">
        <f>[12]BS17A!U1976</f>
        <v>282310</v>
      </c>
      <c r="E275" s="369">
        <f>+[12]BS17A!$V1976</f>
        <v>0</v>
      </c>
      <c r="F275" s="262"/>
    </row>
    <row r="276" spans="1:10" s="501" customFormat="1" ht="15" customHeight="1" x14ac:dyDescent="0.2">
      <c r="A276" s="435" t="s">
        <v>409</v>
      </c>
      <c r="B276" s="431" t="s">
        <v>410</v>
      </c>
      <c r="C276" s="380">
        <f>+[12]BS17A!$D1977</f>
        <v>0</v>
      </c>
      <c r="D276" s="270">
        <f>[12]BS17A!U1977</f>
        <v>164590</v>
      </c>
      <c r="E276" s="345">
        <f>+[12]BS17A!$V1977</f>
        <v>0</v>
      </c>
      <c r="F276" s="262"/>
    </row>
    <row r="277" spans="1:10" s="501" customFormat="1" ht="15" customHeight="1" x14ac:dyDescent="0.2">
      <c r="A277" s="435" t="s">
        <v>411</v>
      </c>
      <c r="B277" s="431" t="s">
        <v>412</v>
      </c>
      <c r="C277" s="380">
        <f>+[12]BS17A!$D1978</f>
        <v>0</v>
      </c>
      <c r="D277" s="270">
        <f>[12]BS17A!U1978</f>
        <v>397700</v>
      </c>
      <c r="E277" s="345">
        <f>+[12]BS17A!$V1978</f>
        <v>0</v>
      </c>
      <c r="F277" s="262"/>
    </row>
    <row r="278" spans="1:10" s="501" customFormat="1" ht="15" customHeight="1" x14ac:dyDescent="0.2">
      <c r="A278" s="435" t="s">
        <v>413</v>
      </c>
      <c r="B278" s="431" t="s">
        <v>414</v>
      </c>
      <c r="C278" s="380">
        <f>+[12]BS17A!$D1979</f>
        <v>0</v>
      </c>
      <c r="D278" s="270">
        <f>[12]BS17A!U1979</f>
        <v>412140</v>
      </c>
      <c r="E278" s="345">
        <f>+[12]BS17A!$V1979</f>
        <v>0</v>
      </c>
      <c r="F278" s="262"/>
    </row>
    <row r="279" spans="1:10" s="501" customFormat="1" ht="15" customHeight="1" x14ac:dyDescent="0.2">
      <c r="A279" s="436" t="s">
        <v>415</v>
      </c>
      <c r="B279" s="444" t="s">
        <v>416</v>
      </c>
      <c r="C279" s="395">
        <f>+[12]BS17A!$D1980</f>
        <v>0</v>
      </c>
      <c r="D279" s="277">
        <f>[12]BS17A!U1980</f>
        <v>257530</v>
      </c>
      <c r="E279" s="350">
        <f>+[12]BS17A!$V1980</f>
        <v>0</v>
      </c>
      <c r="F279" s="370"/>
    </row>
    <row r="280" spans="1:10" s="501" customFormat="1" ht="15" customHeight="1" x14ac:dyDescent="0.2">
      <c r="A280" s="447" t="s">
        <v>417</v>
      </c>
      <c r="B280" s="445" t="s">
        <v>418</v>
      </c>
      <c r="C280" s="413">
        <f>+[12]BS17A!$D1981</f>
        <v>85</v>
      </c>
      <c r="D280" s="371">
        <f>[12]BS17A!U1981</f>
        <v>35020</v>
      </c>
      <c r="E280" s="367">
        <f>+[12]BS17A!$V1981</f>
        <v>2976700</v>
      </c>
      <c r="F280" s="370"/>
    </row>
    <row r="281" spans="1:10" s="501" customFormat="1" ht="15" customHeight="1" x14ac:dyDescent="0.2">
      <c r="A281" s="442"/>
      <c r="B281" s="446" t="s">
        <v>419</v>
      </c>
      <c r="C281" s="279">
        <f>SUM(C241:C280)</f>
        <v>85</v>
      </c>
      <c r="D281" s="348"/>
      <c r="E281" s="349">
        <f>SUM(E241:E280)</f>
        <v>2976700</v>
      </c>
      <c r="F281" s="370"/>
    </row>
    <row r="282" spans="1:10" s="501" customFormat="1" ht="18" customHeight="1" x14ac:dyDescent="0.2">
      <c r="A282" s="362"/>
      <c r="B282" s="262"/>
      <c r="C282" s="262"/>
      <c r="D282" s="362"/>
      <c r="E282" s="362"/>
      <c r="F282" s="262"/>
    </row>
    <row r="283" spans="1:10" s="501" customFormat="1" ht="18" customHeight="1" x14ac:dyDescent="0.2">
      <c r="A283" s="362"/>
      <c r="B283" s="364"/>
      <c r="C283" s="364"/>
      <c r="D283" s="362"/>
      <c r="E283" s="362"/>
      <c r="F283" s="372"/>
      <c r="G283" s="373"/>
      <c r="J283" s="374"/>
    </row>
    <row r="284" spans="1:10" s="501" customFormat="1" ht="12.75" customHeight="1" x14ac:dyDescent="0.2">
      <c r="A284" s="591" t="s">
        <v>420</v>
      </c>
      <c r="B284" s="592"/>
      <c r="C284" s="592"/>
      <c r="D284" s="592"/>
      <c r="E284" s="593"/>
      <c r="F284" s="262"/>
    </row>
    <row r="285" spans="1:10" s="501" customFormat="1" ht="44.25" customHeight="1" x14ac:dyDescent="0.2">
      <c r="A285" s="264" t="s">
        <v>8</v>
      </c>
      <c r="B285" s="264" t="s">
        <v>420</v>
      </c>
      <c r="C285" s="535" t="s">
        <v>341</v>
      </c>
      <c r="D285" s="310" t="s">
        <v>11</v>
      </c>
      <c r="E285" s="537" t="s">
        <v>12</v>
      </c>
      <c r="F285" s="370"/>
    </row>
    <row r="286" spans="1:10" s="501" customFormat="1" ht="15" customHeight="1" x14ac:dyDescent="0.2">
      <c r="A286" s="434" t="s">
        <v>421</v>
      </c>
      <c r="B286" s="438" t="s">
        <v>422</v>
      </c>
      <c r="C286" s="383">
        <f>+[12]BS17A!$D1983</f>
        <v>1</v>
      </c>
      <c r="D286" s="275">
        <f>+[12]BS17A!$U1983</f>
        <v>6890</v>
      </c>
      <c r="E286" s="344">
        <f>+[12]BS17A!$V1983</f>
        <v>6890</v>
      </c>
      <c r="F286" s="262"/>
    </row>
    <row r="287" spans="1:10" s="501" customFormat="1" ht="15" customHeight="1" x14ac:dyDescent="0.2">
      <c r="A287" s="435" t="s">
        <v>423</v>
      </c>
      <c r="B287" s="439" t="s">
        <v>424</v>
      </c>
      <c r="C287" s="380">
        <f>+[12]BS17A!$D1984</f>
        <v>0</v>
      </c>
      <c r="D287" s="270">
        <f>+[12]BS17A!$U1984</f>
        <v>3670</v>
      </c>
      <c r="E287" s="345">
        <f>+[12]BS17A!$V1984</f>
        <v>0</v>
      </c>
      <c r="F287" s="262"/>
    </row>
    <row r="288" spans="1:10" s="501" customFormat="1" ht="15" customHeight="1" x14ac:dyDescent="0.2">
      <c r="A288" s="435" t="s">
        <v>425</v>
      </c>
      <c r="B288" s="439" t="s">
        <v>426</v>
      </c>
      <c r="C288" s="380">
        <f>+[12]BS17A!$D1985</f>
        <v>0</v>
      </c>
      <c r="D288" s="270">
        <f>+[12]BS17A!$U1985</f>
        <v>13830</v>
      </c>
      <c r="E288" s="345">
        <f>+[12]BS17A!$V1985</f>
        <v>0</v>
      </c>
      <c r="F288" s="262"/>
    </row>
    <row r="289" spans="1:7" s="501" customFormat="1" ht="15" customHeight="1" x14ac:dyDescent="0.2">
      <c r="A289" s="435" t="s">
        <v>427</v>
      </c>
      <c r="B289" s="439" t="s">
        <v>428</v>
      </c>
      <c r="C289" s="380">
        <f>+[12]BS17A!$D1986</f>
        <v>0</v>
      </c>
      <c r="D289" s="270">
        <f>+[12]BS17A!$U1986</f>
        <v>141790</v>
      </c>
      <c r="E289" s="345">
        <f>+[12]BS17A!$V1986</f>
        <v>0</v>
      </c>
      <c r="F289" s="262"/>
    </row>
    <row r="290" spans="1:7" s="501" customFormat="1" ht="15" customHeight="1" x14ac:dyDescent="0.2">
      <c r="A290" s="436" t="s">
        <v>429</v>
      </c>
      <c r="B290" s="440" t="s">
        <v>430</v>
      </c>
      <c r="C290" s="395">
        <f>+[12]BS17A!$D1987</f>
        <v>1</v>
      </c>
      <c r="D290" s="277">
        <f>+[12]BS17A!$U1987</f>
        <v>778770</v>
      </c>
      <c r="E290" s="350">
        <f>+[12]BS17A!$V1987</f>
        <v>778770</v>
      </c>
      <c r="F290" s="262"/>
    </row>
    <row r="291" spans="1:7" s="501" customFormat="1" ht="15" customHeight="1" x14ac:dyDescent="0.2">
      <c r="A291" s="442"/>
      <c r="B291" s="441" t="s">
        <v>431</v>
      </c>
      <c r="C291" s="316">
        <f>SUM(C286:C290)</f>
        <v>2</v>
      </c>
      <c r="D291" s="288"/>
      <c r="E291" s="317">
        <f>SUM(E286:E290)</f>
        <v>785660</v>
      </c>
      <c r="F291" s="262"/>
    </row>
    <row r="292" spans="1:7" s="501" customFormat="1" ht="18" customHeight="1" x14ac:dyDescent="0.2">
      <c r="A292" s="362"/>
      <c r="B292" s="364"/>
      <c r="C292" s="362"/>
      <c r="D292" s="362"/>
      <c r="E292" s="362"/>
      <c r="F292" s="262"/>
    </row>
    <row r="293" spans="1:7" s="501" customFormat="1" ht="18" customHeight="1" x14ac:dyDescent="0.2">
      <c r="A293" s="362"/>
      <c r="B293" s="364"/>
      <c r="C293" s="362"/>
      <c r="D293" s="362"/>
      <c r="E293" s="362"/>
      <c r="F293" s="375"/>
      <c r="G293" s="263"/>
    </row>
    <row r="294" spans="1:7" s="501" customFormat="1" ht="12.75" x14ac:dyDescent="0.2">
      <c r="A294" s="586" t="s">
        <v>432</v>
      </c>
      <c r="B294" s="587"/>
      <c r="C294" s="587"/>
      <c r="D294" s="587"/>
      <c r="E294" s="588"/>
      <c r="F294" s="376"/>
      <c r="G294" s="263"/>
    </row>
    <row r="295" spans="1:7" s="501" customFormat="1" ht="42.75" customHeight="1" x14ac:dyDescent="0.2">
      <c r="A295" s="264" t="s">
        <v>8</v>
      </c>
      <c r="B295" s="407" t="s">
        <v>432</v>
      </c>
      <c r="C295" s="408" t="s">
        <v>433</v>
      </c>
      <c r="D295" s="310" t="s">
        <v>11</v>
      </c>
      <c r="E295" s="537" t="s">
        <v>12</v>
      </c>
      <c r="F295" s="376"/>
      <c r="G295" s="263"/>
    </row>
    <row r="296" spans="1:7" s="501" customFormat="1" ht="15" customHeight="1" x14ac:dyDescent="0.2">
      <c r="A296" s="434" t="s">
        <v>434</v>
      </c>
      <c r="B296" s="429" t="s">
        <v>435</v>
      </c>
      <c r="C296" s="383">
        <f>+[12]BS17A!$D1863</f>
        <v>212</v>
      </c>
      <c r="D296" s="275">
        <f>+[12]BS17A!$U1863</f>
        <v>18430</v>
      </c>
      <c r="E296" s="344">
        <f>+[12]BS17A!$V1863</f>
        <v>3907160</v>
      </c>
      <c r="F296" s="262"/>
    </row>
    <row r="297" spans="1:7" s="501" customFormat="1" ht="15" customHeight="1" x14ac:dyDescent="0.2">
      <c r="A297" s="435" t="s">
        <v>436</v>
      </c>
      <c r="B297" s="430" t="s">
        <v>437</v>
      </c>
      <c r="C297" s="380">
        <f>+[12]BS17A!$D1864</f>
        <v>181</v>
      </c>
      <c r="D297" s="270">
        <f>+[12]BS17A!$U1864</f>
        <v>57970</v>
      </c>
      <c r="E297" s="345">
        <f>+[12]BS17A!$V1864</f>
        <v>10492570</v>
      </c>
      <c r="F297" s="262"/>
    </row>
    <row r="298" spans="1:7" s="501" customFormat="1" ht="15" customHeight="1" x14ac:dyDescent="0.2">
      <c r="A298" s="435" t="s">
        <v>438</v>
      </c>
      <c r="B298" s="430" t="s">
        <v>439</v>
      </c>
      <c r="C298" s="380">
        <f>+[12]BS17A!$D1865</f>
        <v>0</v>
      </c>
      <c r="D298" s="270">
        <f>+[12]BS17A!$U1865</f>
        <v>71860</v>
      </c>
      <c r="E298" s="345">
        <f>+[12]BS17A!$V1865</f>
        <v>0</v>
      </c>
      <c r="F298" s="262"/>
    </row>
    <row r="299" spans="1:7" s="501" customFormat="1" ht="15" customHeight="1" x14ac:dyDescent="0.2">
      <c r="A299" s="435" t="s">
        <v>440</v>
      </c>
      <c r="B299" s="430" t="s">
        <v>441</v>
      </c>
      <c r="C299" s="380">
        <f>+[12]BS17A!$D1866</f>
        <v>132</v>
      </c>
      <c r="D299" s="270">
        <f>+[12]BS17A!$U1866</f>
        <v>2520</v>
      </c>
      <c r="E299" s="345">
        <f>+[12]BS17A!$V1866</f>
        <v>332640</v>
      </c>
      <c r="F299" s="262"/>
    </row>
    <row r="300" spans="1:7" s="501" customFormat="1" ht="15" customHeight="1" x14ac:dyDescent="0.2">
      <c r="A300" s="435" t="s">
        <v>442</v>
      </c>
      <c r="B300" s="430" t="s">
        <v>443</v>
      </c>
      <c r="C300" s="380">
        <f>+[12]BS17A!$D1867</f>
        <v>0</v>
      </c>
      <c r="D300" s="270">
        <f>+[12]BS17A!$U1867</f>
        <v>70</v>
      </c>
      <c r="E300" s="345">
        <f>+[12]BS17A!$V1867</f>
        <v>0</v>
      </c>
      <c r="F300" s="262"/>
    </row>
    <row r="301" spans="1:7" s="501" customFormat="1" ht="15" customHeight="1" x14ac:dyDescent="0.2">
      <c r="A301" s="435" t="s">
        <v>444</v>
      </c>
      <c r="B301" s="431" t="s">
        <v>445</v>
      </c>
      <c r="C301" s="380">
        <f>+[12]BS17A!$D1868</f>
        <v>0</v>
      </c>
      <c r="D301" s="270">
        <f>+[12]BS17A!$U1868</f>
        <v>152560</v>
      </c>
      <c r="E301" s="345">
        <f>+[12]BS17A!$V1868</f>
        <v>0</v>
      </c>
      <c r="F301" s="262"/>
    </row>
    <row r="302" spans="1:7" s="501" customFormat="1" ht="15" customHeight="1" x14ac:dyDescent="0.2">
      <c r="A302" s="436" t="s">
        <v>446</v>
      </c>
      <c r="B302" s="432" t="s">
        <v>447</v>
      </c>
      <c r="C302" s="395">
        <f>+[12]BS17A!$D1869</f>
        <v>0</v>
      </c>
      <c r="D302" s="277">
        <f>+[12]BS17A!$U1869</f>
        <v>10370</v>
      </c>
      <c r="E302" s="350">
        <f>+[12]BS17A!$V1869</f>
        <v>0</v>
      </c>
      <c r="F302" s="262"/>
    </row>
    <row r="303" spans="1:7" s="501" customFormat="1" ht="15" customHeight="1" x14ac:dyDescent="0.2">
      <c r="A303" s="437"/>
      <c r="B303" s="603" t="s">
        <v>448</v>
      </c>
      <c r="C303" s="604"/>
      <c r="D303" s="366"/>
      <c r="E303" s="377">
        <f>SUM(E296:E302)</f>
        <v>14732370</v>
      </c>
      <c r="F303" s="262"/>
    </row>
    <row r="304" spans="1:7" s="501" customFormat="1" ht="12.75" x14ac:dyDescent="0.2">
      <c r="A304" s="262"/>
      <c r="B304" s="262"/>
      <c r="C304" s="262"/>
      <c r="D304" s="262"/>
      <c r="E304" s="262"/>
      <c r="F304" s="359"/>
      <c r="G304" s="361"/>
    </row>
    <row r="305" spans="1:7" s="501" customFormat="1" ht="12.75" x14ac:dyDescent="0.2">
      <c r="A305" s="262"/>
      <c r="B305" s="262"/>
      <c r="C305" s="262"/>
      <c r="D305" s="262"/>
      <c r="E305" s="262"/>
      <c r="F305" s="359"/>
      <c r="G305" s="361"/>
    </row>
    <row r="306" spans="1:7" s="501" customFormat="1" ht="12.75" x14ac:dyDescent="0.2">
      <c r="A306" s="597" t="s">
        <v>449</v>
      </c>
      <c r="B306" s="598"/>
      <c r="C306" s="598"/>
      <c r="D306" s="598"/>
      <c r="E306" s="599"/>
      <c r="F306" s="359"/>
      <c r="G306" s="361"/>
    </row>
    <row r="307" spans="1:7" s="501" customFormat="1" ht="12.75" x14ac:dyDescent="0.2">
      <c r="A307" s="307"/>
      <c r="B307" s="600" t="s">
        <v>450</v>
      </c>
      <c r="C307" s="601"/>
      <c r="D307" s="602"/>
      <c r="E307" s="378">
        <f>+E232+E237+E281+E291+E303</f>
        <v>30493730</v>
      </c>
      <c r="F307" s="262"/>
    </row>
    <row r="308" spans="1:7" s="501" customFormat="1" ht="12.75" x14ac:dyDescent="0.2">
      <c r="A308" s="262"/>
      <c r="B308" s="262"/>
      <c r="C308" s="262"/>
      <c r="D308" s="262"/>
      <c r="E308" s="262"/>
      <c r="F308" s="359"/>
      <c r="G308" s="361"/>
    </row>
    <row r="309" spans="1:7" s="501" customFormat="1" ht="12.75" x14ac:dyDescent="0.2">
      <c r="A309" s="262"/>
      <c r="B309" s="262"/>
      <c r="C309" s="262"/>
      <c r="D309" s="262"/>
      <c r="E309" s="262"/>
      <c r="F309" s="359"/>
      <c r="G309" s="361"/>
    </row>
    <row r="310" spans="1:7" s="501" customFormat="1" ht="12.75" x14ac:dyDescent="0.2">
      <c r="A310" s="597" t="s">
        <v>451</v>
      </c>
      <c r="B310" s="598"/>
      <c r="C310" s="598"/>
      <c r="D310" s="598"/>
      <c r="E310" s="599"/>
      <c r="F310" s="359"/>
      <c r="G310" s="361"/>
    </row>
    <row r="311" spans="1:7" s="501" customFormat="1" ht="25.5" x14ac:dyDescent="0.2">
      <c r="A311" s="586" t="s">
        <v>452</v>
      </c>
      <c r="B311" s="587"/>
      <c r="C311" s="587"/>
      <c r="D311" s="588"/>
      <c r="E311" s="264" t="s">
        <v>12</v>
      </c>
      <c r="F311" s="359"/>
      <c r="G311" s="361"/>
    </row>
    <row r="312" spans="1:7" s="501" customFormat="1" ht="15" customHeight="1" x14ac:dyDescent="0.2">
      <c r="A312" s="307"/>
      <c r="B312" s="600" t="s">
        <v>453</v>
      </c>
      <c r="C312" s="601"/>
      <c r="D312" s="602"/>
      <c r="E312" s="378">
        <f>+E50+E76+E84+F109+E116+C121+E148+E155+E168+E204+E218+C225+E307</f>
        <v>712827770</v>
      </c>
      <c r="F312" s="359"/>
      <c r="G312" s="361"/>
    </row>
    <row r="313" spans="1:7" s="501" customFormat="1" ht="18" customHeight="1" x14ac:dyDescent="0.2">
      <c r="A313" s="262"/>
      <c r="B313" s="262"/>
      <c r="C313" s="262"/>
      <c r="D313" s="262"/>
      <c r="E313" s="262"/>
      <c r="F313" s="259"/>
    </row>
    <row r="314" spans="1:7" s="501" customFormat="1" ht="18" customHeight="1" x14ac:dyDescent="0.2">
      <c r="A314" s="262"/>
      <c r="B314" s="262"/>
      <c r="C314" s="262"/>
      <c r="D314" s="262"/>
      <c r="E314" s="262"/>
      <c r="F314" s="259"/>
    </row>
    <row r="315" spans="1:7" s="501" customFormat="1" ht="18" customHeight="1" x14ac:dyDescent="0.2">
      <c r="A315" s="597" t="s">
        <v>454</v>
      </c>
      <c r="B315" s="598"/>
      <c r="C315" s="599"/>
      <c r="D315" s="262"/>
      <c r="E315" s="262"/>
      <c r="F315" s="259"/>
    </row>
    <row r="316" spans="1:7" s="501" customFormat="1" ht="18" customHeight="1" x14ac:dyDescent="0.2">
      <c r="A316" s="586" t="s">
        <v>455</v>
      </c>
      <c r="B316" s="587"/>
      <c r="C316" s="588"/>
      <c r="D316" s="262"/>
      <c r="E316" s="262"/>
      <c r="F316" s="259"/>
    </row>
    <row r="317" spans="1:7" s="501" customFormat="1" ht="30.75" customHeight="1" x14ac:dyDescent="0.2">
      <c r="A317" s="597" t="s">
        <v>456</v>
      </c>
      <c r="B317" s="598"/>
      <c r="C317" s="264" t="s">
        <v>457</v>
      </c>
      <c r="D317" s="262"/>
      <c r="E317" s="262"/>
      <c r="F317" s="262"/>
    </row>
    <row r="318" spans="1:7" s="501" customFormat="1" ht="15" customHeight="1" x14ac:dyDescent="0.2">
      <c r="A318" s="379" t="s">
        <v>458</v>
      </c>
      <c r="B318" s="397"/>
      <c r="C318" s="403"/>
      <c r="D318" s="262"/>
      <c r="E318" s="262"/>
      <c r="F318" s="262"/>
    </row>
    <row r="319" spans="1:7" s="501" customFormat="1" ht="15" customHeight="1" x14ac:dyDescent="0.2">
      <c r="A319" s="380" t="s">
        <v>459</v>
      </c>
      <c r="B319" s="398"/>
      <c r="C319" s="404"/>
      <c r="D319" s="262"/>
      <c r="E319" s="262"/>
      <c r="F319" s="262"/>
    </row>
    <row r="320" spans="1:7" s="501" customFormat="1" ht="15" customHeight="1" x14ac:dyDescent="0.2">
      <c r="A320" s="380" t="s">
        <v>460</v>
      </c>
      <c r="B320" s="398"/>
      <c r="C320" s="404"/>
      <c r="D320" s="262"/>
      <c r="E320" s="262"/>
      <c r="F320" s="262"/>
    </row>
    <row r="321" spans="1:6" s="501" customFormat="1" ht="15" customHeight="1" x14ac:dyDescent="0.2">
      <c r="A321" s="381" t="s">
        <v>461</v>
      </c>
      <c r="B321" s="398"/>
      <c r="C321" s="404"/>
      <c r="D321" s="262"/>
      <c r="E321" s="262"/>
      <c r="F321" s="262"/>
    </row>
    <row r="322" spans="1:6" s="501" customFormat="1" ht="15" customHeight="1" x14ac:dyDescent="0.2">
      <c r="A322" s="382" t="s">
        <v>462</v>
      </c>
      <c r="B322" s="399"/>
      <c r="C322" s="405">
        <f>SUM(C318:C321)</f>
        <v>0</v>
      </c>
      <c r="D322" s="262"/>
      <c r="E322" s="262"/>
      <c r="F322" s="262"/>
    </row>
    <row r="323" spans="1:6" s="501" customFormat="1" ht="15" customHeight="1" x14ac:dyDescent="0.2">
      <c r="A323" s="383" t="s">
        <v>463</v>
      </c>
      <c r="B323" s="400"/>
      <c r="C323" s="403">
        <v>16233243</v>
      </c>
      <c r="D323" s="262"/>
      <c r="E323" s="262"/>
      <c r="F323" s="262"/>
    </row>
    <row r="324" spans="1:6" s="501" customFormat="1" ht="15" customHeight="1" x14ac:dyDescent="0.2">
      <c r="A324" s="384" t="s">
        <v>464</v>
      </c>
      <c r="B324" s="401"/>
      <c r="C324" s="404"/>
      <c r="D324" s="262"/>
      <c r="E324" s="262"/>
      <c r="F324" s="262"/>
    </row>
    <row r="325" spans="1:6" s="501" customFormat="1" ht="15" customHeight="1" x14ac:dyDescent="0.2">
      <c r="A325" s="380" t="s">
        <v>465</v>
      </c>
      <c r="B325" s="401"/>
      <c r="C325" s="404"/>
      <c r="D325" s="262"/>
      <c r="E325" s="262"/>
      <c r="F325" s="262"/>
    </row>
    <row r="326" spans="1:6" s="501" customFormat="1" ht="15" customHeight="1" x14ac:dyDescent="0.2">
      <c r="A326" s="380" t="s">
        <v>466</v>
      </c>
      <c r="B326" s="401"/>
      <c r="C326" s="404"/>
      <c r="D326" s="262"/>
      <c r="E326" s="262"/>
      <c r="F326" s="262"/>
    </row>
    <row r="327" spans="1:6" s="501" customFormat="1" ht="15" customHeight="1" x14ac:dyDescent="0.2">
      <c r="A327" s="384" t="s">
        <v>467</v>
      </c>
      <c r="B327" s="401"/>
      <c r="C327" s="404"/>
      <c r="D327" s="262"/>
      <c r="E327" s="262"/>
      <c r="F327" s="262"/>
    </row>
    <row r="328" spans="1:6" s="501" customFormat="1" ht="15" customHeight="1" x14ac:dyDescent="0.2">
      <c r="A328" s="384" t="s">
        <v>468</v>
      </c>
      <c r="B328" s="401"/>
      <c r="C328" s="404"/>
      <c r="D328" s="262"/>
      <c r="E328" s="262"/>
      <c r="F328" s="262"/>
    </row>
    <row r="329" spans="1:6" s="501" customFormat="1" ht="15" customHeight="1" x14ac:dyDescent="0.2">
      <c r="A329" s="385" t="s">
        <v>469</v>
      </c>
      <c r="B329" s="402"/>
      <c r="C329" s="406">
        <v>140613829</v>
      </c>
      <c r="D329" s="262"/>
      <c r="E329" s="262"/>
      <c r="F329" s="262"/>
    </row>
    <row r="330" spans="1:6" s="501" customFormat="1" ht="15" customHeight="1" x14ac:dyDescent="0.2">
      <c r="A330" s="279"/>
      <c r="B330" s="396" t="s">
        <v>470</v>
      </c>
      <c r="C330" s="354">
        <f>SUM(C322:C329)</f>
        <v>156847072</v>
      </c>
      <c r="D330" s="262"/>
      <c r="E330" s="262"/>
      <c r="F330" s="262"/>
    </row>
    <row r="331" spans="1:6" s="501" customFormat="1" ht="12.75" x14ac:dyDescent="0.2">
      <c r="A331" s="262"/>
      <c r="B331" s="262"/>
      <c r="C331" s="262"/>
      <c r="D331" s="262"/>
      <c r="E331" s="262"/>
      <c r="F331" s="259"/>
    </row>
    <row r="332" spans="1:6" s="501" customFormat="1" ht="12.75" x14ac:dyDescent="0.2">
      <c r="A332" s="262"/>
      <c r="B332" s="262"/>
      <c r="C332" s="262"/>
      <c r="D332" s="262"/>
      <c r="E332" s="262"/>
      <c r="F332" s="259"/>
    </row>
    <row r="333" spans="1:6" s="501" customFormat="1" ht="12.75" x14ac:dyDescent="0.2">
      <c r="A333" s="262"/>
      <c r="B333" s="262"/>
      <c r="C333" s="262"/>
      <c r="D333" s="262"/>
      <c r="E333" s="262"/>
      <c r="F333" s="259"/>
    </row>
    <row r="334" spans="1:6" s="501" customFormat="1" ht="12.75" x14ac:dyDescent="0.2">
      <c r="A334" s="362"/>
      <c r="B334" s="362"/>
      <c r="C334" s="362"/>
      <c r="D334" s="362"/>
      <c r="E334" s="362"/>
      <c r="F334" s="375"/>
    </row>
    <row r="335" spans="1:6" s="501" customFormat="1" ht="12.75" x14ac:dyDescent="0.2">
      <c r="A335" s="362"/>
      <c r="B335" s="362"/>
      <c r="C335" s="362"/>
      <c r="D335" s="362"/>
      <c r="E335" s="610" t="str">
        <f>[12]NOMBRE!B12</f>
        <v xml:space="preserve">SRA. MARIA INES NUÑEZ GONZALEZ </v>
      </c>
      <c r="F335" s="610"/>
    </row>
    <row r="336" spans="1:6" s="501" customFormat="1" ht="12.75" x14ac:dyDescent="0.2">
      <c r="A336" s="362"/>
      <c r="B336" s="362"/>
      <c r="C336" s="362"/>
      <c r="D336" s="364"/>
      <c r="E336" s="609" t="str">
        <f>[12]NOMBRE!A12</f>
        <v>Jefe de Estadisticas</v>
      </c>
      <c r="F336" s="609"/>
    </row>
    <row r="337" spans="1:6" s="501" customFormat="1" ht="12.75" x14ac:dyDescent="0.2">
      <c r="A337" s="362"/>
      <c r="B337" s="362"/>
      <c r="C337" s="362"/>
      <c r="D337" s="362"/>
      <c r="E337" s="534"/>
      <c r="F337" s="387"/>
    </row>
    <row r="338" spans="1:6" s="501" customFormat="1" ht="12.75" x14ac:dyDescent="0.2">
      <c r="A338" s="362"/>
      <c r="B338" s="362"/>
      <c r="C338" s="362"/>
      <c r="D338" s="362"/>
      <c r="E338" s="387"/>
      <c r="F338" s="387"/>
    </row>
    <row r="339" spans="1:6" s="501" customFormat="1" ht="12.75" x14ac:dyDescent="0.2">
      <c r="A339" s="362"/>
      <c r="B339" s="362"/>
      <c r="C339" s="362"/>
      <c r="D339" s="362"/>
      <c r="E339" s="387"/>
      <c r="F339" s="387"/>
    </row>
    <row r="340" spans="1:6" s="501" customFormat="1" ht="12.75" x14ac:dyDescent="0.2">
      <c r="A340" s="362"/>
      <c r="B340" s="362"/>
      <c r="C340" s="362"/>
      <c r="D340" s="362"/>
      <c r="E340" s="387"/>
      <c r="F340" s="387"/>
    </row>
    <row r="341" spans="1:6" s="501" customFormat="1" ht="12.75" x14ac:dyDescent="0.2">
      <c r="A341" s="362"/>
      <c r="B341" s="362"/>
      <c r="C341" s="362"/>
      <c r="D341" s="362"/>
      <c r="E341" s="387"/>
      <c r="F341" s="387"/>
    </row>
    <row r="342" spans="1:6" s="501" customFormat="1" ht="12.75" x14ac:dyDescent="0.2">
      <c r="A342" s="362"/>
      <c r="B342" s="362"/>
      <c r="C342" s="362"/>
      <c r="D342" s="362"/>
      <c r="E342" s="387"/>
      <c r="F342" s="387"/>
    </row>
    <row r="343" spans="1:6" s="501" customFormat="1" ht="12.75" x14ac:dyDescent="0.2">
      <c r="A343" s="362"/>
      <c r="B343" s="362"/>
      <c r="C343" s="362"/>
      <c r="D343" s="362"/>
      <c r="E343" s="387"/>
      <c r="F343" s="387"/>
    </row>
    <row r="344" spans="1:6" s="501" customFormat="1" ht="12.75" x14ac:dyDescent="0.2">
      <c r="A344" s="362"/>
      <c r="B344" s="362"/>
      <c r="C344" s="362"/>
      <c r="D344" s="362"/>
      <c r="E344" s="610" t="str">
        <f>[12]NOMBRE!B11</f>
        <v>DR. FRANCISCO MARTINEZ CAVALLA</v>
      </c>
      <c r="F344" s="610"/>
    </row>
    <row r="345" spans="1:6" s="501" customFormat="1" ht="22.5" customHeight="1" x14ac:dyDescent="0.2">
      <c r="A345" s="362"/>
      <c r="B345" s="362"/>
      <c r="C345" s="362"/>
      <c r="D345" s="375"/>
      <c r="E345" s="609" t="str">
        <f>CONCATENATE("Director ",[12]NOMBRE!B1)</f>
        <v xml:space="preserve">Director </v>
      </c>
      <c r="F345" s="609"/>
    </row>
    <row r="346" spans="1:6" s="501" customFormat="1" ht="12.75" x14ac:dyDescent="0.2">
      <c r="A346" s="362"/>
      <c r="B346" s="362"/>
      <c r="C346" s="362"/>
      <c r="D346" s="388"/>
      <c r="E346" s="362"/>
      <c r="F346" s="375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0" zoomScaleNormal="70" workbookViewId="0">
      <selection activeCell="B20" sqref="B20"/>
    </sheetView>
  </sheetViews>
  <sheetFormatPr baseColWidth="10" defaultRowHeight="10.5" x14ac:dyDescent="0.15"/>
  <cols>
    <col min="1" max="1" width="20.28515625" style="225" customWidth="1"/>
    <col min="2" max="2" width="83.140625" style="225" customWidth="1"/>
    <col min="3" max="5" width="21.42578125" style="225" customWidth="1"/>
    <col min="6" max="6" width="19.5703125" style="226" customWidth="1"/>
    <col min="7" max="7" width="2.42578125" style="225" customWidth="1"/>
    <col min="8" max="9" width="5.140625" style="225" customWidth="1"/>
    <col min="10" max="256" width="11.42578125" style="225"/>
    <col min="257" max="257" width="20.28515625" style="225" customWidth="1"/>
    <col min="258" max="258" width="83.140625" style="225" customWidth="1"/>
    <col min="259" max="261" width="21.42578125" style="225" customWidth="1"/>
    <col min="262" max="262" width="19.5703125" style="225" customWidth="1"/>
    <col min="263" max="263" width="2.42578125" style="225" customWidth="1"/>
    <col min="264" max="265" width="5.140625" style="225" customWidth="1"/>
    <col min="266" max="512" width="11.42578125" style="225"/>
    <col min="513" max="513" width="20.28515625" style="225" customWidth="1"/>
    <col min="514" max="514" width="83.140625" style="225" customWidth="1"/>
    <col min="515" max="517" width="21.42578125" style="225" customWidth="1"/>
    <col min="518" max="518" width="19.5703125" style="225" customWidth="1"/>
    <col min="519" max="519" width="2.42578125" style="225" customWidth="1"/>
    <col min="520" max="521" width="5.140625" style="225" customWidth="1"/>
    <col min="522" max="768" width="11.42578125" style="225"/>
    <col min="769" max="769" width="20.28515625" style="225" customWidth="1"/>
    <col min="770" max="770" width="83.140625" style="225" customWidth="1"/>
    <col min="771" max="773" width="21.42578125" style="225" customWidth="1"/>
    <col min="774" max="774" width="19.5703125" style="225" customWidth="1"/>
    <col min="775" max="775" width="2.42578125" style="225" customWidth="1"/>
    <col min="776" max="777" width="5.140625" style="225" customWidth="1"/>
    <col min="778" max="1024" width="11.42578125" style="225"/>
    <col min="1025" max="1025" width="20.28515625" style="225" customWidth="1"/>
    <col min="1026" max="1026" width="83.140625" style="225" customWidth="1"/>
    <col min="1027" max="1029" width="21.42578125" style="225" customWidth="1"/>
    <col min="1030" max="1030" width="19.5703125" style="225" customWidth="1"/>
    <col min="1031" max="1031" width="2.42578125" style="225" customWidth="1"/>
    <col min="1032" max="1033" width="5.140625" style="225" customWidth="1"/>
    <col min="1034" max="1280" width="11.42578125" style="225"/>
    <col min="1281" max="1281" width="20.28515625" style="225" customWidth="1"/>
    <col min="1282" max="1282" width="83.140625" style="225" customWidth="1"/>
    <col min="1283" max="1285" width="21.42578125" style="225" customWidth="1"/>
    <col min="1286" max="1286" width="19.5703125" style="225" customWidth="1"/>
    <col min="1287" max="1287" width="2.42578125" style="225" customWidth="1"/>
    <col min="1288" max="1289" width="5.140625" style="225" customWidth="1"/>
    <col min="1290" max="1536" width="11.42578125" style="225"/>
    <col min="1537" max="1537" width="20.28515625" style="225" customWidth="1"/>
    <col min="1538" max="1538" width="83.140625" style="225" customWidth="1"/>
    <col min="1539" max="1541" width="21.42578125" style="225" customWidth="1"/>
    <col min="1542" max="1542" width="19.5703125" style="225" customWidth="1"/>
    <col min="1543" max="1543" width="2.42578125" style="225" customWidth="1"/>
    <col min="1544" max="1545" width="5.140625" style="225" customWidth="1"/>
    <col min="1546" max="1792" width="11.42578125" style="225"/>
    <col min="1793" max="1793" width="20.28515625" style="225" customWidth="1"/>
    <col min="1794" max="1794" width="83.140625" style="225" customWidth="1"/>
    <col min="1795" max="1797" width="21.42578125" style="225" customWidth="1"/>
    <col min="1798" max="1798" width="19.5703125" style="225" customWidth="1"/>
    <col min="1799" max="1799" width="2.42578125" style="225" customWidth="1"/>
    <col min="1800" max="1801" width="5.140625" style="225" customWidth="1"/>
    <col min="1802" max="2048" width="11.42578125" style="225"/>
    <col min="2049" max="2049" width="20.28515625" style="225" customWidth="1"/>
    <col min="2050" max="2050" width="83.140625" style="225" customWidth="1"/>
    <col min="2051" max="2053" width="21.42578125" style="225" customWidth="1"/>
    <col min="2054" max="2054" width="19.5703125" style="225" customWidth="1"/>
    <col min="2055" max="2055" width="2.42578125" style="225" customWidth="1"/>
    <col min="2056" max="2057" width="5.140625" style="225" customWidth="1"/>
    <col min="2058" max="2304" width="11.42578125" style="225"/>
    <col min="2305" max="2305" width="20.28515625" style="225" customWidth="1"/>
    <col min="2306" max="2306" width="83.140625" style="225" customWidth="1"/>
    <col min="2307" max="2309" width="21.42578125" style="225" customWidth="1"/>
    <col min="2310" max="2310" width="19.5703125" style="225" customWidth="1"/>
    <col min="2311" max="2311" width="2.42578125" style="225" customWidth="1"/>
    <col min="2312" max="2313" width="5.140625" style="225" customWidth="1"/>
    <col min="2314" max="2560" width="11.42578125" style="225"/>
    <col min="2561" max="2561" width="20.28515625" style="225" customWidth="1"/>
    <col min="2562" max="2562" width="83.140625" style="225" customWidth="1"/>
    <col min="2563" max="2565" width="21.42578125" style="225" customWidth="1"/>
    <col min="2566" max="2566" width="19.5703125" style="225" customWidth="1"/>
    <col min="2567" max="2567" width="2.42578125" style="225" customWidth="1"/>
    <col min="2568" max="2569" width="5.140625" style="225" customWidth="1"/>
    <col min="2570" max="2816" width="11.42578125" style="225"/>
    <col min="2817" max="2817" width="20.28515625" style="225" customWidth="1"/>
    <col min="2818" max="2818" width="83.140625" style="225" customWidth="1"/>
    <col min="2819" max="2821" width="21.42578125" style="225" customWidth="1"/>
    <col min="2822" max="2822" width="19.5703125" style="225" customWidth="1"/>
    <col min="2823" max="2823" width="2.42578125" style="225" customWidth="1"/>
    <col min="2824" max="2825" width="5.140625" style="225" customWidth="1"/>
    <col min="2826" max="3072" width="11.42578125" style="225"/>
    <col min="3073" max="3073" width="20.28515625" style="225" customWidth="1"/>
    <col min="3074" max="3074" width="83.140625" style="225" customWidth="1"/>
    <col min="3075" max="3077" width="21.42578125" style="225" customWidth="1"/>
    <col min="3078" max="3078" width="19.5703125" style="225" customWidth="1"/>
    <col min="3079" max="3079" width="2.42578125" style="225" customWidth="1"/>
    <col min="3080" max="3081" width="5.140625" style="225" customWidth="1"/>
    <col min="3082" max="3328" width="11.42578125" style="225"/>
    <col min="3329" max="3329" width="20.28515625" style="225" customWidth="1"/>
    <col min="3330" max="3330" width="83.140625" style="225" customWidth="1"/>
    <col min="3331" max="3333" width="21.42578125" style="225" customWidth="1"/>
    <col min="3334" max="3334" width="19.5703125" style="225" customWidth="1"/>
    <col min="3335" max="3335" width="2.42578125" style="225" customWidth="1"/>
    <col min="3336" max="3337" width="5.140625" style="225" customWidth="1"/>
    <col min="3338" max="3584" width="11.42578125" style="225"/>
    <col min="3585" max="3585" width="20.28515625" style="225" customWidth="1"/>
    <col min="3586" max="3586" width="83.140625" style="225" customWidth="1"/>
    <col min="3587" max="3589" width="21.42578125" style="225" customWidth="1"/>
    <col min="3590" max="3590" width="19.5703125" style="225" customWidth="1"/>
    <col min="3591" max="3591" width="2.42578125" style="225" customWidth="1"/>
    <col min="3592" max="3593" width="5.140625" style="225" customWidth="1"/>
    <col min="3594" max="3840" width="11.42578125" style="225"/>
    <col min="3841" max="3841" width="20.28515625" style="225" customWidth="1"/>
    <col min="3842" max="3842" width="83.140625" style="225" customWidth="1"/>
    <col min="3843" max="3845" width="21.42578125" style="225" customWidth="1"/>
    <col min="3846" max="3846" width="19.5703125" style="225" customWidth="1"/>
    <col min="3847" max="3847" width="2.42578125" style="225" customWidth="1"/>
    <col min="3848" max="3849" width="5.140625" style="225" customWidth="1"/>
    <col min="3850" max="4096" width="11.42578125" style="225"/>
    <col min="4097" max="4097" width="20.28515625" style="225" customWidth="1"/>
    <col min="4098" max="4098" width="83.140625" style="225" customWidth="1"/>
    <col min="4099" max="4101" width="21.42578125" style="225" customWidth="1"/>
    <col min="4102" max="4102" width="19.5703125" style="225" customWidth="1"/>
    <col min="4103" max="4103" width="2.42578125" style="225" customWidth="1"/>
    <col min="4104" max="4105" width="5.140625" style="225" customWidth="1"/>
    <col min="4106" max="4352" width="11.42578125" style="225"/>
    <col min="4353" max="4353" width="20.28515625" style="225" customWidth="1"/>
    <col min="4354" max="4354" width="83.140625" style="225" customWidth="1"/>
    <col min="4355" max="4357" width="21.42578125" style="225" customWidth="1"/>
    <col min="4358" max="4358" width="19.5703125" style="225" customWidth="1"/>
    <col min="4359" max="4359" width="2.42578125" style="225" customWidth="1"/>
    <col min="4360" max="4361" width="5.140625" style="225" customWidth="1"/>
    <col min="4362" max="4608" width="11.42578125" style="225"/>
    <col min="4609" max="4609" width="20.28515625" style="225" customWidth="1"/>
    <col min="4610" max="4610" width="83.140625" style="225" customWidth="1"/>
    <col min="4611" max="4613" width="21.42578125" style="225" customWidth="1"/>
    <col min="4614" max="4614" width="19.5703125" style="225" customWidth="1"/>
    <col min="4615" max="4615" width="2.42578125" style="225" customWidth="1"/>
    <col min="4616" max="4617" width="5.140625" style="225" customWidth="1"/>
    <col min="4618" max="4864" width="11.42578125" style="225"/>
    <col min="4865" max="4865" width="20.28515625" style="225" customWidth="1"/>
    <col min="4866" max="4866" width="83.140625" style="225" customWidth="1"/>
    <col min="4867" max="4869" width="21.42578125" style="225" customWidth="1"/>
    <col min="4870" max="4870" width="19.5703125" style="225" customWidth="1"/>
    <col min="4871" max="4871" width="2.42578125" style="225" customWidth="1"/>
    <col min="4872" max="4873" width="5.140625" style="225" customWidth="1"/>
    <col min="4874" max="5120" width="11.42578125" style="225"/>
    <col min="5121" max="5121" width="20.28515625" style="225" customWidth="1"/>
    <col min="5122" max="5122" width="83.140625" style="225" customWidth="1"/>
    <col min="5123" max="5125" width="21.42578125" style="225" customWidth="1"/>
    <col min="5126" max="5126" width="19.5703125" style="225" customWidth="1"/>
    <col min="5127" max="5127" width="2.42578125" style="225" customWidth="1"/>
    <col min="5128" max="5129" width="5.140625" style="225" customWidth="1"/>
    <col min="5130" max="5376" width="11.42578125" style="225"/>
    <col min="5377" max="5377" width="20.28515625" style="225" customWidth="1"/>
    <col min="5378" max="5378" width="83.140625" style="225" customWidth="1"/>
    <col min="5379" max="5381" width="21.42578125" style="225" customWidth="1"/>
    <col min="5382" max="5382" width="19.5703125" style="225" customWidth="1"/>
    <col min="5383" max="5383" width="2.42578125" style="225" customWidth="1"/>
    <col min="5384" max="5385" width="5.140625" style="225" customWidth="1"/>
    <col min="5386" max="5632" width="11.42578125" style="225"/>
    <col min="5633" max="5633" width="20.28515625" style="225" customWidth="1"/>
    <col min="5634" max="5634" width="83.140625" style="225" customWidth="1"/>
    <col min="5635" max="5637" width="21.42578125" style="225" customWidth="1"/>
    <col min="5638" max="5638" width="19.5703125" style="225" customWidth="1"/>
    <col min="5639" max="5639" width="2.42578125" style="225" customWidth="1"/>
    <col min="5640" max="5641" width="5.140625" style="225" customWidth="1"/>
    <col min="5642" max="5888" width="11.42578125" style="225"/>
    <col min="5889" max="5889" width="20.28515625" style="225" customWidth="1"/>
    <col min="5890" max="5890" width="83.140625" style="225" customWidth="1"/>
    <col min="5891" max="5893" width="21.42578125" style="225" customWidth="1"/>
    <col min="5894" max="5894" width="19.5703125" style="225" customWidth="1"/>
    <col min="5895" max="5895" width="2.42578125" style="225" customWidth="1"/>
    <col min="5896" max="5897" width="5.140625" style="225" customWidth="1"/>
    <col min="5898" max="6144" width="11.42578125" style="225"/>
    <col min="6145" max="6145" width="20.28515625" style="225" customWidth="1"/>
    <col min="6146" max="6146" width="83.140625" style="225" customWidth="1"/>
    <col min="6147" max="6149" width="21.42578125" style="225" customWidth="1"/>
    <col min="6150" max="6150" width="19.5703125" style="225" customWidth="1"/>
    <col min="6151" max="6151" width="2.42578125" style="225" customWidth="1"/>
    <col min="6152" max="6153" width="5.140625" style="225" customWidth="1"/>
    <col min="6154" max="6400" width="11.42578125" style="225"/>
    <col min="6401" max="6401" width="20.28515625" style="225" customWidth="1"/>
    <col min="6402" max="6402" width="83.140625" style="225" customWidth="1"/>
    <col min="6403" max="6405" width="21.42578125" style="225" customWidth="1"/>
    <col min="6406" max="6406" width="19.5703125" style="225" customWidth="1"/>
    <col min="6407" max="6407" width="2.42578125" style="225" customWidth="1"/>
    <col min="6408" max="6409" width="5.140625" style="225" customWidth="1"/>
    <col min="6410" max="6656" width="11.42578125" style="225"/>
    <col min="6657" max="6657" width="20.28515625" style="225" customWidth="1"/>
    <col min="6658" max="6658" width="83.140625" style="225" customWidth="1"/>
    <col min="6659" max="6661" width="21.42578125" style="225" customWidth="1"/>
    <col min="6662" max="6662" width="19.5703125" style="225" customWidth="1"/>
    <col min="6663" max="6663" width="2.42578125" style="225" customWidth="1"/>
    <col min="6664" max="6665" width="5.140625" style="225" customWidth="1"/>
    <col min="6666" max="6912" width="11.42578125" style="225"/>
    <col min="6913" max="6913" width="20.28515625" style="225" customWidth="1"/>
    <col min="6914" max="6914" width="83.140625" style="225" customWidth="1"/>
    <col min="6915" max="6917" width="21.42578125" style="225" customWidth="1"/>
    <col min="6918" max="6918" width="19.5703125" style="225" customWidth="1"/>
    <col min="6919" max="6919" width="2.42578125" style="225" customWidth="1"/>
    <col min="6920" max="6921" width="5.140625" style="225" customWidth="1"/>
    <col min="6922" max="7168" width="11.42578125" style="225"/>
    <col min="7169" max="7169" width="20.28515625" style="225" customWidth="1"/>
    <col min="7170" max="7170" width="83.140625" style="225" customWidth="1"/>
    <col min="7171" max="7173" width="21.42578125" style="225" customWidth="1"/>
    <col min="7174" max="7174" width="19.5703125" style="225" customWidth="1"/>
    <col min="7175" max="7175" width="2.42578125" style="225" customWidth="1"/>
    <col min="7176" max="7177" width="5.140625" style="225" customWidth="1"/>
    <col min="7178" max="7424" width="11.42578125" style="225"/>
    <col min="7425" max="7425" width="20.28515625" style="225" customWidth="1"/>
    <col min="7426" max="7426" width="83.140625" style="225" customWidth="1"/>
    <col min="7427" max="7429" width="21.42578125" style="225" customWidth="1"/>
    <col min="7430" max="7430" width="19.5703125" style="225" customWidth="1"/>
    <col min="7431" max="7431" width="2.42578125" style="225" customWidth="1"/>
    <col min="7432" max="7433" width="5.140625" style="225" customWidth="1"/>
    <col min="7434" max="7680" width="11.42578125" style="225"/>
    <col min="7681" max="7681" width="20.28515625" style="225" customWidth="1"/>
    <col min="7682" max="7682" width="83.140625" style="225" customWidth="1"/>
    <col min="7683" max="7685" width="21.42578125" style="225" customWidth="1"/>
    <col min="7686" max="7686" width="19.5703125" style="225" customWidth="1"/>
    <col min="7687" max="7687" width="2.42578125" style="225" customWidth="1"/>
    <col min="7688" max="7689" width="5.140625" style="225" customWidth="1"/>
    <col min="7690" max="7936" width="11.42578125" style="225"/>
    <col min="7937" max="7937" width="20.28515625" style="225" customWidth="1"/>
    <col min="7938" max="7938" width="83.140625" style="225" customWidth="1"/>
    <col min="7939" max="7941" width="21.42578125" style="225" customWidth="1"/>
    <col min="7942" max="7942" width="19.5703125" style="225" customWidth="1"/>
    <col min="7943" max="7943" width="2.42578125" style="225" customWidth="1"/>
    <col min="7944" max="7945" width="5.140625" style="225" customWidth="1"/>
    <col min="7946" max="8192" width="11.42578125" style="225"/>
    <col min="8193" max="8193" width="20.28515625" style="225" customWidth="1"/>
    <col min="8194" max="8194" width="83.140625" style="225" customWidth="1"/>
    <col min="8195" max="8197" width="21.42578125" style="225" customWidth="1"/>
    <col min="8198" max="8198" width="19.5703125" style="225" customWidth="1"/>
    <col min="8199" max="8199" width="2.42578125" style="225" customWidth="1"/>
    <col min="8200" max="8201" width="5.140625" style="225" customWidth="1"/>
    <col min="8202" max="8448" width="11.42578125" style="225"/>
    <col min="8449" max="8449" width="20.28515625" style="225" customWidth="1"/>
    <col min="8450" max="8450" width="83.140625" style="225" customWidth="1"/>
    <col min="8451" max="8453" width="21.42578125" style="225" customWidth="1"/>
    <col min="8454" max="8454" width="19.5703125" style="225" customWidth="1"/>
    <col min="8455" max="8455" width="2.42578125" style="225" customWidth="1"/>
    <col min="8456" max="8457" width="5.140625" style="225" customWidth="1"/>
    <col min="8458" max="8704" width="11.42578125" style="225"/>
    <col min="8705" max="8705" width="20.28515625" style="225" customWidth="1"/>
    <col min="8706" max="8706" width="83.140625" style="225" customWidth="1"/>
    <col min="8707" max="8709" width="21.42578125" style="225" customWidth="1"/>
    <col min="8710" max="8710" width="19.5703125" style="225" customWidth="1"/>
    <col min="8711" max="8711" width="2.42578125" style="225" customWidth="1"/>
    <col min="8712" max="8713" width="5.140625" style="225" customWidth="1"/>
    <col min="8714" max="8960" width="11.42578125" style="225"/>
    <col min="8961" max="8961" width="20.28515625" style="225" customWidth="1"/>
    <col min="8962" max="8962" width="83.140625" style="225" customWidth="1"/>
    <col min="8963" max="8965" width="21.42578125" style="225" customWidth="1"/>
    <col min="8966" max="8966" width="19.5703125" style="225" customWidth="1"/>
    <col min="8967" max="8967" width="2.42578125" style="225" customWidth="1"/>
    <col min="8968" max="8969" width="5.140625" style="225" customWidth="1"/>
    <col min="8970" max="9216" width="11.42578125" style="225"/>
    <col min="9217" max="9217" width="20.28515625" style="225" customWidth="1"/>
    <col min="9218" max="9218" width="83.140625" style="225" customWidth="1"/>
    <col min="9219" max="9221" width="21.42578125" style="225" customWidth="1"/>
    <col min="9222" max="9222" width="19.5703125" style="225" customWidth="1"/>
    <col min="9223" max="9223" width="2.42578125" style="225" customWidth="1"/>
    <col min="9224" max="9225" width="5.140625" style="225" customWidth="1"/>
    <col min="9226" max="9472" width="11.42578125" style="225"/>
    <col min="9473" max="9473" width="20.28515625" style="225" customWidth="1"/>
    <col min="9474" max="9474" width="83.140625" style="225" customWidth="1"/>
    <col min="9475" max="9477" width="21.42578125" style="225" customWidth="1"/>
    <col min="9478" max="9478" width="19.5703125" style="225" customWidth="1"/>
    <col min="9479" max="9479" width="2.42578125" style="225" customWidth="1"/>
    <col min="9480" max="9481" width="5.140625" style="225" customWidth="1"/>
    <col min="9482" max="9728" width="11.42578125" style="225"/>
    <col min="9729" max="9729" width="20.28515625" style="225" customWidth="1"/>
    <col min="9730" max="9730" width="83.140625" style="225" customWidth="1"/>
    <col min="9731" max="9733" width="21.42578125" style="225" customWidth="1"/>
    <col min="9734" max="9734" width="19.5703125" style="225" customWidth="1"/>
    <col min="9735" max="9735" width="2.42578125" style="225" customWidth="1"/>
    <col min="9736" max="9737" width="5.140625" style="225" customWidth="1"/>
    <col min="9738" max="9984" width="11.42578125" style="225"/>
    <col min="9985" max="9985" width="20.28515625" style="225" customWidth="1"/>
    <col min="9986" max="9986" width="83.140625" style="225" customWidth="1"/>
    <col min="9987" max="9989" width="21.42578125" style="225" customWidth="1"/>
    <col min="9990" max="9990" width="19.5703125" style="225" customWidth="1"/>
    <col min="9991" max="9991" width="2.42578125" style="225" customWidth="1"/>
    <col min="9992" max="9993" width="5.140625" style="225" customWidth="1"/>
    <col min="9994" max="10240" width="11.42578125" style="225"/>
    <col min="10241" max="10241" width="20.28515625" style="225" customWidth="1"/>
    <col min="10242" max="10242" width="83.140625" style="225" customWidth="1"/>
    <col min="10243" max="10245" width="21.42578125" style="225" customWidth="1"/>
    <col min="10246" max="10246" width="19.5703125" style="225" customWidth="1"/>
    <col min="10247" max="10247" width="2.42578125" style="225" customWidth="1"/>
    <col min="10248" max="10249" width="5.140625" style="225" customWidth="1"/>
    <col min="10250" max="10496" width="11.42578125" style="225"/>
    <col min="10497" max="10497" width="20.28515625" style="225" customWidth="1"/>
    <col min="10498" max="10498" width="83.140625" style="225" customWidth="1"/>
    <col min="10499" max="10501" width="21.42578125" style="225" customWidth="1"/>
    <col min="10502" max="10502" width="19.5703125" style="225" customWidth="1"/>
    <col min="10503" max="10503" width="2.42578125" style="225" customWidth="1"/>
    <col min="10504" max="10505" width="5.140625" style="225" customWidth="1"/>
    <col min="10506" max="10752" width="11.42578125" style="225"/>
    <col min="10753" max="10753" width="20.28515625" style="225" customWidth="1"/>
    <col min="10754" max="10754" width="83.140625" style="225" customWidth="1"/>
    <col min="10755" max="10757" width="21.42578125" style="225" customWidth="1"/>
    <col min="10758" max="10758" width="19.5703125" style="225" customWidth="1"/>
    <col min="10759" max="10759" width="2.42578125" style="225" customWidth="1"/>
    <col min="10760" max="10761" width="5.140625" style="225" customWidth="1"/>
    <col min="10762" max="11008" width="11.42578125" style="225"/>
    <col min="11009" max="11009" width="20.28515625" style="225" customWidth="1"/>
    <col min="11010" max="11010" width="83.140625" style="225" customWidth="1"/>
    <col min="11011" max="11013" width="21.42578125" style="225" customWidth="1"/>
    <col min="11014" max="11014" width="19.5703125" style="225" customWidth="1"/>
    <col min="11015" max="11015" width="2.42578125" style="225" customWidth="1"/>
    <col min="11016" max="11017" width="5.140625" style="225" customWidth="1"/>
    <col min="11018" max="11264" width="11.42578125" style="225"/>
    <col min="11265" max="11265" width="20.28515625" style="225" customWidth="1"/>
    <col min="11266" max="11266" width="83.140625" style="225" customWidth="1"/>
    <col min="11267" max="11269" width="21.42578125" style="225" customWidth="1"/>
    <col min="11270" max="11270" width="19.5703125" style="225" customWidth="1"/>
    <col min="11271" max="11271" width="2.42578125" style="225" customWidth="1"/>
    <col min="11272" max="11273" width="5.140625" style="225" customWidth="1"/>
    <col min="11274" max="11520" width="11.42578125" style="225"/>
    <col min="11521" max="11521" width="20.28515625" style="225" customWidth="1"/>
    <col min="11522" max="11522" width="83.140625" style="225" customWidth="1"/>
    <col min="11523" max="11525" width="21.42578125" style="225" customWidth="1"/>
    <col min="11526" max="11526" width="19.5703125" style="225" customWidth="1"/>
    <col min="11527" max="11527" width="2.42578125" style="225" customWidth="1"/>
    <col min="11528" max="11529" width="5.140625" style="225" customWidth="1"/>
    <col min="11530" max="11776" width="11.42578125" style="225"/>
    <col min="11777" max="11777" width="20.28515625" style="225" customWidth="1"/>
    <col min="11778" max="11778" width="83.140625" style="225" customWidth="1"/>
    <col min="11779" max="11781" width="21.42578125" style="225" customWidth="1"/>
    <col min="11782" max="11782" width="19.5703125" style="225" customWidth="1"/>
    <col min="11783" max="11783" width="2.42578125" style="225" customWidth="1"/>
    <col min="11784" max="11785" width="5.140625" style="225" customWidth="1"/>
    <col min="11786" max="12032" width="11.42578125" style="225"/>
    <col min="12033" max="12033" width="20.28515625" style="225" customWidth="1"/>
    <col min="12034" max="12034" width="83.140625" style="225" customWidth="1"/>
    <col min="12035" max="12037" width="21.42578125" style="225" customWidth="1"/>
    <col min="12038" max="12038" width="19.5703125" style="225" customWidth="1"/>
    <col min="12039" max="12039" width="2.42578125" style="225" customWidth="1"/>
    <col min="12040" max="12041" width="5.140625" style="225" customWidth="1"/>
    <col min="12042" max="12288" width="11.42578125" style="225"/>
    <col min="12289" max="12289" width="20.28515625" style="225" customWidth="1"/>
    <col min="12290" max="12290" width="83.140625" style="225" customWidth="1"/>
    <col min="12291" max="12293" width="21.42578125" style="225" customWidth="1"/>
    <col min="12294" max="12294" width="19.5703125" style="225" customWidth="1"/>
    <col min="12295" max="12295" width="2.42578125" style="225" customWidth="1"/>
    <col min="12296" max="12297" width="5.140625" style="225" customWidth="1"/>
    <col min="12298" max="12544" width="11.42578125" style="225"/>
    <col min="12545" max="12545" width="20.28515625" style="225" customWidth="1"/>
    <col min="12546" max="12546" width="83.140625" style="225" customWidth="1"/>
    <col min="12547" max="12549" width="21.42578125" style="225" customWidth="1"/>
    <col min="12550" max="12550" width="19.5703125" style="225" customWidth="1"/>
    <col min="12551" max="12551" width="2.42578125" style="225" customWidth="1"/>
    <col min="12552" max="12553" width="5.140625" style="225" customWidth="1"/>
    <col min="12554" max="12800" width="11.42578125" style="225"/>
    <col min="12801" max="12801" width="20.28515625" style="225" customWidth="1"/>
    <col min="12802" max="12802" width="83.140625" style="225" customWidth="1"/>
    <col min="12803" max="12805" width="21.42578125" style="225" customWidth="1"/>
    <col min="12806" max="12806" width="19.5703125" style="225" customWidth="1"/>
    <col min="12807" max="12807" width="2.42578125" style="225" customWidth="1"/>
    <col min="12808" max="12809" width="5.140625" style="225" customWidth="1"/>
    <col min="12810" max="13056" width="11.42578125" style="225"/>
    <col min="13057" max="13057" width="20.28515625" style="225" customWidth="1"/>
    <col min="13058" max="13058" width="83.140625" style="225" customWidth="1"/>
    <col min="13059" max="13061" width="21.42578125" style="225" customWidth="1"/>
    <col min="13062" max="13062" width="19.5703125" style="225" customWidth="1"/>
    <col min="13063" max="13063" width="2.42578125" style="225" customWidth="1"/>
    <col min="13064" max="13065" width="5.140625" style="225" customWidth="1"/>
    <col min="13066" max="13312" width="11.42578125" style="225"/>
    <col min="13313" max="13313" width="20.28515625" style="225" customWidth="1"/>
    <col min="13314" max="13314" width="83.140625" style="225" customWidth="1"/>
    <col min="13315" max="13317" width="21.42578125" style="225" customWidth="1"/>
    <col min="13318" max="13318" width="19.5703125" style="225" customWidth="1"/>
    <col min="13319" max="13319" width="2.42578125" style="225" customWidth="1"/>
    <col min="13320" max="13321" width="5.140625" style="225" customWidth="1"/>
    <col min="13322" max="13568" width="11.42578125" style="225"/>
    <col min="13569" max="13569" width="20.28515625" style="225" customWidth="1"/>
    <col min="13570" max="13570" width="83.140625" style="225" customWidth="1"/>
    <col min="13571" max="13573" width="21.42578125" style="225" customWidth="1"/>
    <col min="13574" max="13574" width="19.5703125" style="225" customWidth="1"/>
    <col min="13575" max="13575" width="2.42578125" style="225" customWidth="1"/>
    <col min="13576" max="13577" width="5.140625" style="225" customWidth="1"/>
    <col min="13578" max="13824" width="11.42578125" style="225"/>
    <col min="13825" max="13825" width="20.28515625" style="225" customWidth="1"/>
    <col min="13826" max="13826" width="83.140625" style="225" customWidth="1"/>
    <col min="13827" max="13829" width="21.42578125" style="225" customWidth="1"/>
    <col min="13830" max="13830" width="19.5703125" style="225" customWidth="1"/>
    <col min="13831" max="13831" width="2.42578125" style="225" customWidth="1"/>
    <col min="13832" max="13833" width="5.140625" style="225" customWidth="1"/>
    <col min="13834" max="14080" width="11.42578125" style="225"/>
    <col min="14081" max="14081" width="20.28515625" style="225" customWidth="1"/>
    <col min="14082" max="14082" width="83.140625" style="225" customWidth="1"/>
    <col min="14083" max="14085" width="21.42578125" style="225" customWidth="1"/>
    <col min="14086" max="14086" width="19.5703125" style="225" customWidth="1"/>
    <col min="14087" max="14087" width="2.42578125" style="225" customWidth="1"/>
    <col min="14088" max="14089" width="5.140625" style="225" customWidth="1"/>
    <col min="14090" max="14336" width="11.42578125" style="225"/>
    <col min="14337" max="14337" width="20.28515625" style="225" customWidth="1"/>
    <col min="14338" max="14338" width="83.140625" style="225" customWidth="1"/>
    <col min="14339" max="14341" width="21.42578125" style="225" customWidth="1"/>
    <col min="14342" max="14342" width="19.5703125" style="225" customWidth="1"/>
    <col min="14343" max="14343" width="2.42578125" style="225" customWidth="1"/>
    <col min="14344" max="14345" width="5.140625" style="225" customWidth="1"/>
    <col min="14346" max="14592" width="11.42578125" style="225"/>
    <col min="14593" max="14593" width="20.28515625" style="225" customWidth="1"/>
    <col min="14594" max="14594" width="83.140625" style="225" customWidth="1"/>
    <col min="14595" max="14597" width="21.42578125" style="225" customWidth="1"/>
    <col min="14598" max="14598" width="19.5703125" style="225" customWidth="1"/>
    <col min="14599" max="14599" width="2.42578125" style="225" customWidth="1"/>
    <col min="14600" max="14601" width="5.140625" style="225" customWidth="1"/>
    <col min="14602" max="14848" width="11.42578125" style="225"/>
    <col min="14849" max="14849" width="20.28515625" style="225" customWidth="1"/>
    <col min="14850" max="14850" width="83.140625" style="225" customWidth="1"/>
    <col min="14851" max="14853" width="21.42578125" style="225" customWidth="1"/>
    <col min="14854" max="14854" width="19.5703125" style="225" customWidth="1"/>
    <col min="14855" max="14855" width="2.42578125" style="225" customWidth="1"/>
    <col min="14856" max="14857" width="5.140625" style="225" customWidth="1"/>
    <col min="14858" max="15104" width="11.42578125" style="225"/>
    <col min="15105" max="15105" width="20.28515625" style="225" customWidth="1"/>
    <col min="15106" max="15106" width="83.140625" style="225" customWidth="1"/>
    <col min="15107" max="15109" width="21.42578125" style="225" customWidth="1"/>
    <col min="15110" max="15110" width="19.5703125" style="225" customWidth="1"/>
    <col min="15111" max="15111" width="2.42578125" style="225" customWidth="1"/>
    <col min="15112" max="15113" width="5.140625" style="225" customWidth="1"/>
    <col min="15114" max="15360" width="11.42578125" style="225"/>
    <col min="15361" max="15361" width="20.28515625" style="225" customWidth="1"/>
    <col min="15362" max="15362" width="83.140625" style="225" customWidth="1"/>
    <col min="15363" max="15365" width="21.42578125" style="225" customWidth="1"/>
    <col min="15366" max="15366" width="19.5703125" style="225" customWidth="1"/>
    <col min="15367" max="15367" width="2.42578125" style="225" customWidth="1"/>
    <col min="15368" max="15369" width="5.140625" style="225" customWidth="1"/>
    <col min="15370" max="15616" width="11.42578125" style="225"/>
    <col min="15617" max="15617" width="20.28515625" style="225" customWidth="1"/>
    <col min="15618" max="15618" width="83.140625" style="225" customWidth="1"/>
    <col min="15619" max="15621" width="21.42578125" style="225" customWidth="1"/>
    <col min="15622" max="15622" width="19.5703125" style="225" customWidth="1"/>
    <col min="15623" max="15623" width="2.42578125" style="225" customWidth="1"/>
    <col min="15624" max="15625" width="5.140625" style="225" customWidth="1"/>
    <col min="15626" max="15872" width="11.42578125" style="225"/>
    <col min="15873" max="15873" width="20.28515625" style="225" customWidth="1"/>
    <col min="15874" max="15874" width="83.140625" style="225" customWidth="1"/>
    <col min="15875" max="15877" width="21.42578125" style="225" customWidth="1"/>
    <col min="15878" max="15878" width="19.5703125" style="225" customWidth="1"/>
    <col min="15879" max="15879" width="2.42578125" style="225" customWidth="1"/>
    <col min="15880" max="15881" width="5.140625" style="225" customWidth="1"/>
    <col min="15882" max="16128" width="11.42578125" style="225"/>
    <col min="16129" max="16129" width="20.28515625" style="225" customWidth="1"/>
    <col min="16130" max="16130" width="83.140625" style="225" customWidth="1"/>
    <col min="16131" max="16133" width="21.42578125" style="225" customWidth="1"/>
    <col min="16134" max="16134" width="19.5703125" style="225" customWidth="1"/>
    <col min="16135" max="16135" width="2.42578125" style="225" customWidth="1"/>
    <col min="16136" max="16137" width="5.140625" style="225" customWidth="1"/>
    <col min="16138" max="16384" width="11.42578125" style="225"/>
  </cols>
  <sheetData>
    <row r="1" spans="1:7" ht="12.75" x14ac:dyDescent="0.2">
      <c r="A1" s="15" t="s">
        <v>0</v>
      </c>
      <c r="B1" s="16"/>
      <c r="C1" s="543" t="s">
        <v>1</v>
      </c>
      <c r="D1" s="544"/>
      <c r="E1" s="545"/>
      <c r="F1" s="17"/>
    </row>
    <row r="2" spans="1:7" ht="12.75" x14ac:dyDescent="0.2">
      <c r="A2" s="15" t="str">
        <f>CONCATENATE("COMUNA: ",[2]NOMBRE!B2," - ","( ",[2]NOMBRE!C2,[2]NOMBRE!D2,[2]NOMBRE!E2,[2]NOMBRE!F2,[2]NOMBRE!G2," )")</f>
        <v>COMUNA: LINARES  - ( 07401 )</v>
      </c>
      <c r="B2" s="16"/>
      <c r="C2" s="546"/>
      <c r="D2" s="547"/>
      <c r="E2" s="548"/>
      <c r="F2" s="18"/>
      <c r="G2" s="19"/>
    </row>
    <row r="3" spans="1:7" ht="12.75" x14ac:dyDescent="0.2">
      <c r="A3" s="15" t="str">
        <f>CONCATENATE("ESTABLECIMIENTO/ESTRATEGIA: ",[2]NOMBRE!B3," - ","( ",[2]NOMBRE!C3,[2]NOMBRE!D3,[2]NOMBRE!E3,[2]NOMBRE!F3,[2]NOMBRE!G3,[2]NOMBRE!H3," )")</f>
        <v>ESTABLECIMIENTO/ESTRATEGIA: HOSPITAL DE LINARES  - ( 160108 )</v>
      </c>
      <c r="B3" s="16"/>
      <c r="C3" s="543" t="s">
        <v>2</v>
      </c>
      <c r="D3" s="544"/>
      <c r="E3" s="545"/>
      <c r="F3" s="18"/>
      <c r="G3" s="20"/>
    </row>
    <row r="4" spans="1:7" ht="12.75" x14ac:dyDescent="0.2">
      <c r="A4" s="15" t="str">
        <f>CONCATENATE("MES: ",[2]NOMBRE!B6," - ","( ",[2]NOMBRE!C6,[2]NOMBRE!D6," )")</f>
        <v>MES: ENERO - ( 01 )</v>
      </c>
      <c r="B4" s="16"/>
      <c r="C4" s="546" t="str">
        <f>CONCATENATE([2]NOMBRE!B6," ","( ",[2]NOMBRE!C6,[2]NOMBRE!D6," )")</f>
        <v>ENERO ( 01 )</v>
      </c>
      <c r="D4" s="547"/>
      <c r="E4" s="548"/>
      <c r="F4" s="18"/>
      <c r="G4" s="20"/>
    </row>
    <row r="5" spans="1:7" ht="12.75" x14ac:dyDescent="0.2">
      <c r="A5" s="15" t="str">
        <f>CONCATENATE("AÑO: ",[2]NOMBRE!B7)</f>
        <v>AÑO: 2014</v>
      </c>
      <c r="B5" s="16"/>
      <c r="C5" s="543" t="s">
        <v>3</v>
      </c>
      <c r="D5" s="544"/>
      <c r="E5" s="545"/>
      <c r="F5" s="18"/>
      <c r="G5" s="20"/>
    </row>
    <row r="6" spans="1:7" ht="12.75" x14ac:dyDescent="0.2">
      <c r="A6" s="21"/>
      <c r="B6" s="21"/>
      <c r="C6" s="546">
        <f>[2]NOMBRE!B7</f>
        <v>2014</v>
      </c>
      <c r="D6" s="547"/>
      <c r="E6" s="548"/>
      <c r="F6" s="18"/>
      <c r="G6" s="20"/>
    </row>
    <row r="7" spans="1:7" ht="15" x14ac:dyDescent="0.2">
      <c r="A7" s="555" t="s">
        <v>4</v>
      </c>
      <c r="B7" s="556"/>
      <c r="C7" s="560" t="s">
        <v>5</v>
      </c>
      <c r="D7" s="561"/>
      <c r="E7" s="562"/>
      <c r="F7" s="18"/>
      <c r="G7" s="20"/>
    </row>
    <row r="8" spans="1:7" ht="15" x14ac:dyDescent="0.2">
      <c r="A8" s="21"/>
      <c r="B8" s="240" t="s">
        <v>6</v>
      </c>
      <c r="C8" s="546" t="str">
        <f>CONCATENATE([2]NOMBRE!B3," ","( ",[2]NOMBRE!C3,[2]NOMBRE!D3,[2]NOMBRE!E3,[2]NOMBRE!F3,[2]NOMBRE!G3," )")</f>
        <v>HOSPITAL DE LINARES  ( 16010 )</v>
      </c>
      <c r="D8" s="547"/>
      <c r="E8" s="548"/>
      <c r="F8" s="18"/>
      <c r="G8" s="20"/>
    </row>
    <row r="9" spans="1:7" ht="12.75" x14ac:dyDescent="0.2">
      <c r="A9" s="21"/>
      <c r="B9" s="21"/>
      <c r="C9" s="21"/>
      <c r="D9" s="21"/>
      <c r="E9" s="21"/>
      <c r="F9" s="18"/>
      <c r="G9" s="20"/>
    </row>
    <row r="10" spans="1:7" ht="12.75" x14ac:dyDescent="0.2">
      <c r="A10" s="21"/>
      <c r="B10" s="21"/>
      <c r="C10" s="21"/>
      <c r="D10" s="21"/>
      <c r="E10" s="21"/>
      <c r="F10" s="18"/>
      <c r="G10" s="22"/>
    </row>
    <row r="11" spans="1:7" ht="12.75" x14ac:dyDescent="0.2">
      <c r="A11" s="549" t="s">
        <v>7</v>
      </c>
      <c r="B11" s="550"/>
      <c r="C11" s="550"/>
      <c r="D11" s="550"/>
      <c r="E11" s="551"/>
      <c r="F11" s="18"/>
    </row>
    <row r="12" spans="1:7" ht="43.5" customHeight="1" x14ac:dyDescent="0.2">
      <c r="A12" s="1" t="s">
        <v>8</v>
      </c>
      <c r="B12" s="1" t="s">
        <v>9</v>
      </c>
      <c r="C12" s="235" t="s">
        <v>10</v>
      </c>
      <c r="D12" s="3" t="s">
        <v>11</v>
      </c>
      <c r="E12" s="237" t="s">
        <v>12</v>
      </c>
      <c r="F12" s="21"/>
    </row>
    <row r="13" spans="1:7" ht="12.75" customHeight="1" x14ac:dyDescent="0.2">
      <c r="A13" s="552" t="s">
        <v>13</v>
      </c>
      <c r="B13" s="553"/>
      <c r="C13" s="553"/>
      <c r="D13" s="553"/>
      <c r="E13" s="554"/>
      <c r="F13" s="21"/>
    </row>
    <row r="14" spans="1:7" ht="15" customHeight="1" x14ac:dyDescent="0.2">
      <c r="A14" s="179" t="s">
        <v>14</v>
      </c>
      <c r="B14" s="188" t="s">
        <v>15</v>
      </c>
      <c r="C14" s="132">
        <f>[2]BS17A!$D13</f>
        <v>0</v>
      </c>
      <c r="D14" s="23">
        <f>[2]BS17A!$U13</f>
        <v>4050</v>
      </c>
      <c r="E14" s="24">
        <f>[2]BS17A!$V13</f>
        <v>0</v>
      </c>
      <c r="F14" s="21"/>
    </row>
    <row r="15" spans="1:7" ht="15" customHeight="1" x14ac:dyDescent="0.2">
      <c r="A15" s="180" t="s">
        <v>16</v>
      </c>
      <c r="B15" s="177" t="s">
        <v>17</v>
      </c>
      <c r="C15" s="132">
        <f>[2]BS17A!$D14</f>
        <v>0</v>
      </c>
      <c r="D15" s="26">
        <f>[2]BS17A!$U14</f>
        <v>5090</v>
      </c>
      <c r="E15" s="27">
        <f>[2]BS17A!$V14</f>
        <v>0</v>
      </c>
      <c r="F15" s="21"/>
    </row>
    <row r="16" spans="1:7" ht="15" customHeight="1" x14ac:dyDescent="0.2">
      <c r="A16" s="180" t="s">
        <v>18</v>
      </c>
      <c r="B16" s="177" t="s">
        <v>19</v>
      </c>
      <c r="C16" s="132">
        <f>[2]BS17A!$D15</f>
        <v>6627</v>
      </c>
      <c r="D16" s="26">
        <f>[2]BS17A!$U15</f>
        <v>10920</v>
      </c>
      <c r="E16" s="27">
        <f>[2]BS17A!$V15</f>
        <v>72366840</v>
      </c>
      <c r="F16" s="21"/>
    </row>
    <row r="17" spans="1:6" ht="15" customHeight="1" x14ac:dyDescent="0.2">
      <c r="A17" s="180" t="s">
        <v>20</v>
      </c>
      <c r="B17" s="177" t="s">
        <v>21</v>
      </c>
      <c r="C17" s="132">
        <f>[2]BS17A!$D16</f>
        <v>0</v>
      </c>
      <c r="D17" s="26">
        <f>[2]BS17A!$U16</f>
        <v>6520</v>
      </c>
      <c r="E17" s="27">
        <f>[2]BS17A!$V16</f>
        <v>0</v>
      </c>
      <c r="F17" s="21"/>
    </row>
    <row r="18" spans="1:6" ht="15" customHeight="1" x14ac:dyDescent="0.2">
      <c r="A18" s="180" t="s">
        <v>22</v>
      </c>
      <c r="B18" s="177" t="s">
        <v>23</v>
      </c>
      <c r="C18" s="132">
        <f>[2]BS17A!$D17</f>
        <v>0</v>
      </c>
      <c r="D18" s="26">
        <f>[2]BS17A!$U17</f>
        <v>7160</v>
      </c>
      <c r="E18" s="27">
        <f>[2]BS17A!$V17</f>
        <v>0</v>
      </c>
      <c r="F18" s="21"/>
    </row>
    <row r="19" spans="1:6" ht="33" customHeight="1" x14ac:dyDescent="0.2">
      <c r="A19" s="180" t="s">
        <v>24</v>
      </c>
      <c r="B19" s="14" t="s">
        <v>25</v>
      </c>
      <c r="C19" s="132">
        <f>[2]BS17A!$D20</f>
        <v>0</v>
      </c>
      <c r="D19" s="26">
        <f>[2]BS17A!$U20</f>
        <v>5520</v>
      </c>
      <c r="E19" s="27">
        <f>[2]BS17A!$V20</f>
        <v>0</v>
      </c>
      <c r="F19" s="21"/>
    </row>
    <row r="20" spans="1:6" ht="42.75" customHeight="1" x14ac:dyDescent="0.2">
      <c r="A20" s="180" t="s">
        <v>26</v>
      </c>
      <c r="B20" s="14" t="s">
        <v>27</v>
      </c>
      <c r="C20" s="132">
        <f>[2]BS17A!$D21</f>
        <v>0</v>
      </c>
      <c r="D20" s="26">
        <f>[2]BS17A!$U21</f>
        <v>6620</v>
      </c>
      <c r="E20" s="27">
        <f>[2]BS17A!$V21</f>
        <v>0</v>
      </c>
      <c r="F20" s="21"/>
    </row>
    <row r="21" spans="1:6" ht="42.75" customHeight="1" x14ac:dyDescent="0.2">
      <c r="A21" s="180" t="s">
        <v>28</v>
      </c>
      <c r="B21" s="14" t="s">
        <v>29</v>
      </c>
      <c r="C21" s="132">
        <f>[2]BS17A!$D22</f>
        <v>0</v>
      </c>
      <c r="D21" s="26">
        <f>[2]BS17A!$U22</f>
        <v>8210</v>
      </c>
      <c r="E21" s="27">
        <f>[2]BS17A!$V22</f>
        <v>0</v>
      </c>
      <c r="F21" s="21"/>
    </row>
    <row r="22" spans="1:6" ht="32.25" customHeight="1" x14ac:dyDescent="0.2">
      <c r="A22" s="180" t="s">
        <v>30</v>
      </c>
      <c r="B22" s="14" t="s">
        <v>31</v>
      </c>
      <c r="C22" s="132">
        <f>[2]BS17A!$D23</f>
        <v>1239</v>
      </c>
      <c r="D22" s="26">
        <f>[2]BS17A!$U23</f>
        <v>5520</v>
      </c>
      <c r="E22" s="27">
        <f>[2]BS17A!$V23</f>
        <v>6839280</v>
      </c>
      <c r="F22" s="21"/>
    </row>
    <row r="23" spans="1:6" ht="40.5" customHeight="1" x14ac:dyDescent="0.2">
      <c r="A23" s="180" t="s">
        <v>32</v>
      </c>
      <c r="B23" s="14" t="s">
        <v>33</v>
      </c>
      <c r="C23" s="132">
        <f>[2]BS17A!$D24</f>
        <v>868</v>
      </c>
      <c r="D23" s="26">
        <f>[2]BS17A!$U24</f>
        <v>6620</v>
      </c>
      <c r="E23" s="27">
        <f>[2]BS17A!$V24</f>
        <v>5746160</v>
      </c>
      <c r="F23" s="21"/>
    </row>
    <row r="24" spans="1:6" ht="27" customHeight="1" x14ac:dyDescent="0.2">
      <c r="A24" s="180" t="s">
        <v>34</v>
      </c>
      <c r="B24" s="14" t="s">
        <v>35</v>
      </c>
      <c r="C24" s="132">
        <f>[2]BS17A!$D25</f>
        <v>2070</v>
      </c>
      <c r="D24" s="26">
        <f>[2]BS17A!$U25</f>
        <v>8210</v>
      </c>
      <c r="E24" s="27">
        <f>[2]BS17A!$V25</f>
        <v>16994700</v>
      </c>
      <c r="F24" s="21"/>
    </row>
    <row r="25" spans="1:6" ht="15" customHeight="1" x14ac:dyDescent="0.2">
      <c r="A25" s="180" t="s">
        <v>36</v>
      </c>
      <c r="B25" s="176" t="s">
        <v>37</v>
      </c>
      <c r="C25" s="132">
        <f>+[2]BS17A!$D795</f>
        <v>196</v>
      </c>
      <c r="D25" s="26">
        <f>+[2]BS17A!$U795</f>
        <v>6700</v>
      </c>
      <c r="E25" s="27">
        <f>+[2]BS17A!$V795</f>
        <v>1313200</v>
      </c>
      <c r="F25" s="21"/>
    </row>
    <row r="26" spans="1:6" ht="15" customHeight="1" x14ac:dyDescent="0.2">
      <c r="A26" s="181" t="s">
        <v>38</v>
      </c>
      <c r="B26" s="195" t="s">
        <v>39</v>
      </c>
      <c r="C26" s="142">
        <f>+[2]BS17A!$D800</f>
        <v>0</v>
      </c>
      <c r="D26" s="28">
        <f>+[2]BS17A!$U800</f>
        <v>27750</v>
      </c>
      <c r="E26" s="29">
        <f>+[2]BS17A!$V800</f>
        <v>0</v>
      </c>
      <c r="F26" s="21"/>
    </row>
    <row r="27" spans="1:6" ht="18" customHeight="1" x14ac:dyDescent="0.2">
      <c r="A27" s="552" t="s">
        <v>40</v>
      </c>
      <c r="B27" s="553"/>
      <c r="C27" s="553"/>
      <c r="D27" s="553"/>
      <c r="E27" s="554"/>
      <c r="F27" s="21"/>
    </row>
    <row r="28" spans="1:6" ht="15" customHeight="1" x14ac:dyDescent="0.2">
      <c r="A28" s="179" t="s">
        <v>41</v>
      </c>
      <c r="B28" s="188" t="s">
        <v>42</v>
      </c>
      <c r="C28" s="135">
        <f>[2]BS17A!$D27</f>
        <v>1753</v>
      </c>
      <c r="D28" s="23">
        <f>[2]BS17A!$U27</f>
        <v>1080</v>
      </c>
      <c r="E28" s="24">
        <f>[2]BS17A!$V27</f>
        <v>1893240</v>
      </c>
      <c r="F28" s="21"/>
    </row>
    <row r="29" spans="1:6" ht="15" customHeight="1" x14ac:dyDescent="0.2">
      <c r="A29" s="180" t="s">
        <v>43</v>
      </c>
      <c r="B29" s="194" t="s">
        <v>44</v>
      </c>
      <c r="C29" s="132">
        <f>[2]BS17A!$D28</f>
        <v>0</v>
      </c>
      <c r="D29" s="26">
        <f>[2]BS17A!$U28</f>
        <v>1840</v>
      </c>
      <c r="E29" s="27">
        <f>[2]BS17A!$V28</f>
        <v>0</v>
      </c>
      <c r="F29" s="21"/>
    </row>
    <row r="30" spans="1:6" ht="15" customHeight="1" x14ac:dyDescent="0.2">
      <c r="A30" s="180" t="s">
        <v>45</v>
      </c>
      <c r="B30" s="177" t="s">
        <v>46</v>
      </c>
      <c r="C30" s="132">
        <f>[2]BS17A!$D29</f>
        <v>0</v>
      </c>
      <c r="D30" s="26">
        <f>[2]BS17A!$U29</f>
        <v>590</v>
      </c>
      <c r="E30" s="27">
        <f>[2]BS17A!$V29</f>
        <v>0</v>
      </c>
      <c r="F30" s="21"/>
    </row>
    <row r="31" spans="1:6" ht="15" customHeight="1" x14ac:dyDescent="0.2">
      <c r="A31" s="180" t="s">
        <v>47</v>
      </c>
      <c r="B31" s="177" t="s">
        <v>48</v>
      </c>
      <c r="C31" s="132">
        <f>[2]BS17A!$D30</f>
        <v>90</v>
      </c>
      <c r="D31" s="26">
        <f>[2]BS17A!$U30</f>
        <v>1460</v>
      </c>
      <c r="E31" s="27">
        <f>[2]BS17A!$V30</f>
        <v>131400</v>
      </c>
      <c r="F31" s="21"/>
    </row>
    <row r="32" spans="1:6" ht="15" customHeight="1" x14ac:dyDescent="0.2">
      <c r="A32" s="180" t="s">
        <v>49</v>
      </c>
      <c r="B32" s="177" t="s">
        <v>50</v>
      </c>
      <c r="C32" s="132">
        <f>[2]BS17A!$D31</f>
        <v>728</v>
      </c>
      <c r="D32" s="26">
        <f>[2]BS17A!$U31</f>
        <v>1170</v>
      </c>
      <c r="E32" s="27">
        <f>[2]BS17A!$V31</f>
        <v>851760</v>
      </c>
      <c r="F32" s="21"/>
    </row>
    <row r="33" spans="1:6" ht="15" customHeight="1" x14ac:dyDescent="0.2">
      <c r="A33" s="180" t="s">
        <v>51</v>
      </c>
      <c r="B33" s="194" t="s">
        <v>52</v>
      </c>
      <c r="C33" s="132">
        <f>[2]BS17A!$D32</f>
        <v>0</v>
      </c>
      <c r="D33" s="26">
        <f>[2]BS17A!$U32</f>
        <v>1080</v>
      </c>
      <c r="E33" s="27">
        <f>[2]BS17A!$V32</f>
        <v>0</v>
      </c>
      <c r="F33" s="21"/>
    </row>
    <row r="34" spans="1:6" ht="15" customHeight="1" x14ac:dyDescent="0.2">
      <c r="A34" s="180" t="s">
        <v>53</v>
      </c>
      <c r="B34" s="177" t="s">
        <v>54</v>
      </c>
      <c r="C34" s="132">
        <f>+[2]BS17A!$D796</f>
        <v>291</v>
      </c>
      <c r="D34" s="26">
        <f>+[2]BS17A!$U796</f>
        <v>2620</v>
      </c>
      <c r="E34" s="27">
        <f>+[2]BS17A!$V796</f>
        <v>762420</v>
      </c>
      <c r="F34" s="21"/>
    </row>
    <row r="35" spans="1:6" ht="15" customHeight="1" x14ac:dyDescent="0.2">
      <c r="A35" s="180" t="s">
        <v>55</v>
      </c>
      <c r="B35" s="194" t="s">
        <v>56</v>
      </c>
      <c r="C35" s="132">
        <f>+[2]BS17A!$D797</f>
        <v>381</v>
      </c>
      <c r="D35" s="26">
        <f>+[2]BS17A!$U797</f>
        <v>2620</v>
      </c>
      <c r="E35" s="27">
        <f>+[2]BS17A!$V797</f>
        <v>998220</v>
      </c>
      <c r="F35" s="21"/>
    </row>
    <row r="36" spans="1:6" ht="15" customHeight="1" x14ac:dyDescent="0.2">
      <c r="A36" s="180" t="s">
        <v>57</v>
      </c>
      <c r="B36" s="194" t="s">
        <v>58</v>
      </c>
      <c r="C36" s="132">
        <f>+[2]BS17A!$D798</f>
        <v>0</v>
      </c>
      <c r="D36" s="26">
        <f>+[2]BS17A!$U798</f>
        <v>10450</v>
      </c>
      <c r="E36" s="27">
        <f>+[2]BS17A!$V798</f>
        <v>0</v>
      </c>
      <c r="F36" s="21"/>
    </row>
    <row r="37" spans="1:6" ht="15" customHeight="1" x14ac:dyDescent="0.2">
      <c r="A37" s="181" t="s">
        <v>59</v>
      </c>
      <c r="B37" s="224" t="s">
        <v>60</v>
      </c>
      <c r="C37" s="142">
        <f>+[2]BS17A!$D799</f>
        <v>27</v>
      </c>
      <c r="D37" s="28">
        <f>+[2]BS17A!$U799</f>
        <v>12230</v>
      </c>
      <c r="E37" s="29">
        <f>+[2]BS17A!$V799</f>
        <v>330210</v>
      </c>
      <c r="F37" s="21"/>
    </row>
    <row r="38" spans="1:6" ht="18" customHeight="1" x14ac:dyDescent="0.2">
      <c r="A38" s="557" t="s">
        <v>61</v>
      </c>
      <c r="B38" s="558"/>
      <c r="C38" s="558"/>
      <c r="D38" s="558"/>
      <c r="E38" s="559"/>
      <c r="F38" s="21"/>
    </row>
    <row r="39" spans="1:6" ht="15" customHeight="1" x14ac:dyDescent="0.2">
      <c r="A39" s="179" t="s">
        <v>62</v>
      </c>
      <c r="B39" s="175" t="s">
        <v>63</v>
      </c>
      <c r="C39" s="135">
        <f>+[2]BS17A!$D801</f>
        <v>0</v>
      </c>
      <c r="D39" s="31">
        <f>+[2]BS17A!$U801</f>
        <v>3450</v>
      </c>
      <c r="E39" s="32">
        <f>+[2]BS17A!$V801</f>
        <v>0</v>
      </c>
      <c r="F39" s="21"/>
    </row>
    <row r="40" spans="1:6" ht="15" customHeight="1" x14ac:dyDescent="0.2">
      <c r="A40" s="181" t="s">
        <v>64</v>
      </c>
      <c r="B40" s="189" t="s">
        <v>65</v>
      </c>
      <c r="C40" s="142">
        <f>+[2]BS17A!$D802</f>
        <v>0</v>
      </c>
      <c r="D40" s="33">
        <f>+[2]BS17A!$U802</f>
        <v>8909</v>
      </c>
      <c r="E40" s="34">
        <f>+[2]BS17A!$V802</f>
        <v>0</v>
      </c>
      <c r="F40" s="21"/>
    </row>
    <row r="41" spans="1:6" ht="18" customHeight="1" x14ac:dyDescent="0.2">
      <c r="A41" s="557" t="s">
        <v>66</v>
      </c>
      <c r="B41" s="558"/>
      <c r="C41" s="558"/>
      <c r="D41" s="558"/>
      <c r="E41" s="559"/>
      <c r="F41" s="21"/>
    </row>
    <row r="42" spans="1:6" ht="15" customHeight="1" x14ac:dyDescent="0.2">
      <c r="A42" s="179" t="s">
        <v>67</v>
      </c>
      <c r="B42" s="196" t="s">
        <v>68</v>
      </c>
      <c r="C42" s="135">
        <f>+[2]BS17A!$D34</f>
        <v>0</v>
      </c>
      <c r="D42" s="31">
        <f>+[2]BS17A!$U34</f>
        <v>3530</v>
      </c>
      <c r="E42" s="32">
        <f>+[2]BS17A!$V34</f>
        <v>0</v>
      </c>
      <c r="F42" s="21"/>
    </row>
    <row r="43" spans="1:6" ht="15" customHeight="1" x14ac:dyDescent="0.2">
      <c r="A43" s="180" t="s">
        <v>69</v>
      </c>
      <c r="B43" s="177" t="s">
        <v>70</v>
      </c>
      <c r="C43" s="132">
        <f>+[2]BS17A!$D35</f>
        <v>618</v>
      </c>
      <c r="D43" s="26">
        <f>+[2]BS17A!$U35</f>
        <v>1940</v>
      </c>
      <c r="E43" s="27">
        <f>+[2]BS17A!$V35</f>
        <v>1198920</v>
      </c>
      <c r="F43" s="21"/>
    </row>
    <row r="44" spans="1:6" ht="15" customHeight="1" x14ac:dyDescent="0.2">
      <c r="A44" s="180" t="s">
        <v>71</v>
      </c>
      <c r="B44" s="177" t="s">
        <v>72</v>
      </c>
      <c r="C44" s="132">
        <f>+[2]BS17A!$D36</f>
        <v>0</v>
      </c>
      <c r="D44" s="26">
        <f>+[2]BS17A!$U36</f>
        <v>1940</v>
      </c>
      <c r="E44" s="27">
        <f>+[2]BS17A!$V36</f>
        <v>0</v>
      </c>
      <c r="F44" s="21"/>
    </row>
    <row r="45" spans="1:6" ht="15" customHeight="1" x14ac:dyDescent="0.2">
      <c r="A45" s="181" t="s">
        <v>73</v>
      </c>
      <c r="B45" s="178" t="s">
        <v>74</v>
      </c>
      <c r="C45" s="142">
        <f>+[2]BS17A!$D37</f>
        <v>618</v>
      </c>
      <c r="D45" s="33">
        <f>+[2]BS17A!$U37</f>
        <v>590</v>
      </c>
      <c r="E45" s="34">
        <f>+[2]BS17A!$V37</f>
        <v>364620</v>
      </c>
      <c r="F45" s="21"/>
    </row>
    <row r="46" spans="1:6" ht="18" customHeight="1" x14ac:dyDescent="0.2">
      <c r="A46" s="557" t="s">
        <v>75</v>
      </c>
      <c r="B46" s="558"/>
      <c r="C46" s="558"/>
      <c r="D46" s="558"/>
      <c r="E46" s="559"/>
      <c r="F46" s="21"/>
    </row>
    <row r="47" spans="1:6" ht="15" customHeight="1" x14ac:dyDescent="0.2">
      <c r="A47" s="179" t="s">
        <v>76</v>
      </c>
      <c r="B47" s="196" t="s">
        <v>77</v>
      </c>
      <c r="C47" s="135">
        <f>+[2]BS17A!$D39</f>
        <v>9</v>
      </c>
      <c r="D47" s="31">
        <f>+[2]BS17A!$U39</f>
        <v>1680</v>
      </c>
      <c r="E47" s="32">
        <f>+[2]BS17A!$V39</f>
        <v>15120</v>
      </c>
      <c r="F47" s="21"/>
    </row>
    <row r="48" spans="1:6" ht="15" customHeight="1" x14ac:dyDescent="0.2">
      <c r="A48" s="180" t="s">
        <v>78</v>
      </c>
      <c r="B48" s="177" t="s">
        <v>79</v>
      </c>
      <c r="C48" s="132">
        <f>+[2]BS17A!$D40</f>
        <v>6</v>
      </c>
      <c r="D48" s="26">
        <f>+[2]BS17A!$U40</f>
        <v>1680</v>
      </c>
      <c r="E48" s="27">
        <f>+[2]BS17A!$V40</f>
        <v>10080</v>
      </c>
      <c r="F48" s="21"/>
    </row>
    <row r="49" spans="1:7" ht="15" customHeight="1" x14ac:dyDescent="0.2">
      <c r="A49" s="181" t="s">
        <v>80</v>
      </c>
      <c r="B49" s="178" t="s">
        <v>81</v>
      </c>
      <c r="C49" s="142">
        <f>+[2]BS17A!$D41</f>
        <v>0</v>
      </c>
      <c r="D49" s="33">
        <f>+[2]BS17A!$U41</f>
        <v>970</v>
      </c>
      <c r="E49" s="34">
        <f>+[2]BS17A!$V41</f>
        <v>0</v>
      </c>
      <c r="F49" s="21"/>
    </row>
    <row r="50" spans="1:7" ht="18" customHeight="1" x14ac:dyDescent="0.2">
      <c r="A50" s="35"/>
      <c r="B50" s="157" t="s">
        <v>82</v>
      </c>
      <c r="C50" s="35">
        <f>SUM(C14:C49)</f>
        <v>15521</v>
      </c>
      <c r="D50" s="36"/>
      <c r="E50" s="37">
        <f>SUM(E14:E49)</f>
        <v>109816170</v>
      </c>
      <c r="F50" s="21"/>
    </row>
    <row r="51" spans="1:7" ht="18" customHeight="1" x14ac:dyDescent="0.2">
      <c r="A51" s="38"/>
      <c r="B51" s="38"/>
      <c r="C51" s="38"/>
      <c r="D51" s="39"/>
      <c r="E51" s="40"/>
      <c r="F51" s="21"/>
    </row>
    <row r="52" spans="1:7" ht="12.75" x14ac:dyDescent="0.2">
      <c r="A52" s="21"/>
      <c r="B52" s="21"/>
      <c r="C52" s="21"/>
      <c r="D52" s="21"/>
      <c r="E52" s="21"/>
      <c r="F52" s="41"/>
      <c r="G52" s="42"/>
    </row>
    <row r="53" spans="1:7" ht="12.75" x14ac:dyDescent="0.2">
      <c r="A53" s="557" t="s">
        <v>83</v>
      </c>
      <c r="B53" s="558"/>
      <c r="C53" s="558"/>
      <c r="D53" s="558"/>
      <c r="E53" s="559"/>
      <c r="F53" s="41"/>
      <c r="G53" s="42"/>
    </row>
    <row r="54" spans="1:7" ht="42.75" customHeight="1" x14ac:dyDescent="0.2">
      <c r="A54" s="1" t="s">
        <v>8</v>
      </c>
      <c r="B54" s="1" t="s">
        <v>84</v>
      </c>
      <c r="C54" s="235" t="s">
        <v>10</v>
      </c>
      <c r="D54" s="4"/>
      <c r="E54" s="237" t="s">
        <v>12</v>
      </c>
      <c r="F54" s="21"/>
    </row>
    <row r="55" spans="1:7" ht="18" customHeight="1" x14ac:dyDescent="0.2">
      <c r="A55" s="239" t="s">
        <v>85</v>
      </c>
      <c r="B55" s="214" t="s">
        <v>86</v>
      </c>
      <c r="C55" s="68">
        <f>+[2]BS17!$D12</f>
        <v>61855</v>
      </c>
      <c r="D55" s="44"/>
      <c r="E55" s="45">
        <f>+E56+E57+E58+E59+E60+E61+E65+E66+E67</f>
        <v>81530640</v>
      </c>
      <c r="F55" s="21"/>
    </row>
    <row r="56" spans="1:7" ht="15" customHeight="1" x14ac:dyDescent="0.2">
      <c r="A56" s="212" t="s">
        <v>87</v>
      </c>
      <c r="B56" s="188" t="s">
        <v>88</v>
      </c>
      <c r="C56" s="172">
        <f>+[2]BS17!$D13</f>
        <v>23641</v>
      </c>
      <c r="D56" s="46"/>
      <c r="E56" s="47">
        <f>+[2]BS17A!V83</f>
        <v>24387920</v>
      </c>
      <c r="F56" s="21"/>
    </row>
    <row r="57" spans="1:7" ht="15" customHeight="1" x14ac:dyDescent="0.2">
      <c r="A57" s="180" t="s">
        <v>89</v>
      </c>
      <c r="B57" s="176" t="s">
        <v>90</v>
      </c>
      <c r="C57" s="132">
        <f>+[2]BS17!$D14</f>
        <v>28344</v>
      </c>
      <c r="D57" s="49"/>
      <c r="E57" s="50">
        <f>+[2]BS17A!V174</f>
        <v>32526320</v>
      </c>
      <c r="F57" s="21"/>
    </row>
    <row r="58" spans="1:7" ht="15" customHeight="1" x14ac:dyDescent="0.2">
      <c r="A58" s="180" t="s">
        <v>91</v>
      </c>
      <c r="B58" s="176" t="s">
        <v>92</v>
      </c>
      <c r="C58" s="132">
        <f>+[2]BS17!$D15</f>
        <v>987</v>
      </c>
      <c r="D58" s="49"/>
      <c r="E58" s="50">
        <f>+[2]BS17A!V243</f>
        <v>3338410</v>
      </c>
      <c r="F58" s="21"/>
    </row>
    <row r="59" spans="1:7" ht="15" customHeight="1" x14ac:dyDescent="0.2">
      <c r="A59" s="180" t="s">
        <v>93</v>
      </c>
      <c r="B59" s="176" t="s">
        <v>94</v>
      </c>
      <c r="C59" s="132">
        <f>+[2]BS17!$D16</f>
        <v>0</v>
      </c>
      <c r="D59" s="49"/>
      <c r="E59" s="50">
        <f>+[2]BS17A!V289</f>
        <v>0</v>
      </c>
      <c r="F59" s="21"/>
    </row>
    <row r="60" spans="1:7" ht="15" customHeight="1" x14ac:dyDescent="0.2">
      <c r="A60" s="207" t="s">
        <v>95</v>
      </c>
      <c r="B60" s="195" t="s">
        <v>96</v>
      </c>
      <c r="C60" s="156">
        <f>+[2]BS17!$D17</f>
        <v>1448</v>
      </c>
      <c r="D60" s="51"/>
      <c r="E60" s="52">
        <f>+[2]BS17A!V295</f>
        <v>6698840</v>
      </c>
      <c r="F60" s="21"/>
    </row>
    <row r="61" spans="1:7" ht="15" customHeight="1" x14ac:dyDescent="0.2">
      <c r="A61" s="179" t="s">
        <v>97</v>
      </c>
      <c r="B61" s="215" t="s">
        <v>98</v>
      </c>
      <c r="C61" s="158">
        <f>+[2]BS17!$D18</f>
        <v>4724</v>
      </c>
      <c r="D61" s="53"/>
      <c r="E61" s="54">
        <f>SUM(E62:E64)</f>
        <v>11788970</v>
      </c>
      <c r="F61" s="21"/>
    </row>
    <row r="62" spans="1:7" ht="15" customHeight="1" x14ac:dyDescent="0.2">
      <c r="A62" s="218"/>
      <c r="B62" s="196" t="s">
        <v>99</v>
      </c>
      <c r="C62" s="135">
        <f>+[2]BS17!$D19</f>
        <v>4005</v>
      </c>
      <c r="D62" s="55"/>
      <c r="E62" s="56">
        <f>+[2]BS17A!V362</f>
        <v>8981710</v>
      </c>
      <c r="F62" s="21"/>
    </row>
    <row r="63" spans="1:7" ht="15" customHeight="1" x14ac:dyDescent="0.2">
      <c r="A63" s="218"/>
      <c r="B63" s="176" t="s">
        <v>100</v>
      </c>
      <c r="C63" s="132">
        <f>+[2]BS17!$D20</f>
        <v>42</v>
      </c>
      <c r="D63" s="49"/>
      <c r="E63" s="50">
        <f>+[2]BS17A!V405</f>
        <v>115480</v>
      </c>
      <c r="F63" s="21"/>
    </row>
    <row r="64" spans="1:7" ht="15" customHeight="1" x14ac:dyDescent="0.2">
      <c r="A64" s="219"/>
      <c r="B64" s="178" t="s">
        <v>101</v>
      </c>
      <c r="C64" s="142">
        <f>+[2]BS17!$D21</f>
        <v>677</v>
      </c>
      <c r="D64" s="57"/>
      <c r="E64" s="58">
        <f>+[2]BS17A!V428</f>
        <v>2691780</v>
      </c>
      <c r="F64" s="21"/>
    </row>
    <row r="65" spans="1:7" ht="15" customHeight="1" x14ac:dyDescent="0.2">
      <c r="A65" s="212" t="s">
        <v>102</v>
      </c>
      <c r="B65" s="211" t="s">
        <v>103</v>
      </c>
      <c r="C65" s="172">
        <f>+[2]BS17!$D22</f>
        <v>0</v>
      </c>
      <c r="D65" s="46"/>
      <c r="E65" s="47">
        <f>+[2]BS17A!V446</f>
        <v>0</v>
      </c>
      <c r="F65" s="21"/>
    </row>
    <row r="66" spans="1:7" ht="15" customHeight="1" x14ac:dyDescent="0.2">
      <c r="A66" s="180" t="s">
        <v>104</v>
      </c>
      <c r="B66" s="176" t="s">
        <v>105</v>
      </c>
      <c r="C66" s="132">
        <f>+[2]BS17!$D23</f>
        <v>60</v>
      </c>
      <c r="D66" s="49"/>
      <c r="E66" s="50">
        <f>+[2]BS17A!V456</f>
        <v>130140</v>
      </c>
      <c r="F66" s="21"/>
    </row>
    <row r="67" spans="1:7" ht="15" customHeight="1" x14ac:dyDescent="0.2">
      <c r="A67" s="207" t="s">
        <v>106</v>
      </c>
      <c r="B67" s="195" t="s">
        <v>107</v>
      </c>
      <c r="C67" s="156">
        <f>+[2]BS17!$D24</f>
        <v>2651</v>
      </c>
      <c r="D67" s="51"/>
      <c r="E67" s="52">
        <f>+[2]BS17A!V500</f>
        <v>2660040</v>
      </c>
      <c r="F67" s="21"/>
    </row>
    <row r="68" spans="1:7" ht="15" customHeight="1" x14ac:dyDescent="0.2">
      <c r="A68" s="220" t="s">
        <v>108</v>
      </c>
      <c r="B68" s="210" t="s">
        <v>109</v>
      </c>
      <c r="C68" s="173">
        <f>+[2]BS17!$D25</f>
        <v>3987</v>
      </c>
      <c r="D68" s="59"/>
      <c r="E68" s="60">
        <f>SUM(E69:E74)</f>
        <v>60355450</v>
      </c>
      <c r="F68" s="21"/>
    </row>
    <row r="69" spans="1:7" ht="15" customHeight="1" x14ac:dyDescent="0.2">
      <c r="A69" s="180" t="s">
        <v>110</v>
      </c>
      <c r="B69" s="176" t="s">
        <v>111</v>
      </c>
      <c r="C69" s="132">
        <f>+[2]BS17!$D26</f>
        <v>2545</v>
      </c>
      <c r="D69" s="49"/>
      <c r="E69" s="50">
        <f>+[2]BS17A!V535</f>
        <v>19730420</v>
      </c>
      <c r="F69" s="21"/>
    </row>
    <row r="70" spans="1:7" ht="15" customHeight="1" x14ac:dyDescent="0.2">
      <c r="A70" s="180" t="s">
        <v>112</v>
      </c>
      <c r="B70" s="176" t="s">
        <v>113</v>
      </c>
      <c r="C70" s="132">
        <f>+[2]BS17!$D27</f>
        <v>10</v>
      </c>
      <c r="D70" s="49"/>
      <c r="E70" s="50">
        <f>+[2]BS17A!V590</f>
        <v>591200</v>
      </c>
      <c r="F70" s="21"/>
    </row>
    <row r="71" spans="1:7" ht="15" customHeight="1" x14ac:dyDescent="0.2">
      <c r="A71" s="180" t="s">
        <v>114</v>
      </c>
      <c r="B71" s="176" t="s">
        <v>115</v>
      </c>
      <c r="C71" s="132">
        <f>+[2]BS17!$D28</f>
        <v>561</v>
      </c>
      <c r="D71" s="49"/>
      <c r="E71" s="50">
        <f>+[2]BS17A!V615</f>
        <v>27727090</v>
      </c>
      <c r="F71" s="21"/>
    </row>
    <row r="72" spans="1:7" ht="15" customHeight="1" x14ac:dyDescent="0.2">
      <c r="A72" s="180" t="s">
        <v>116</v>
      </c>
      <c r="B72" s="176" t="s">
        <v>117</v>
      </c>
      <c r="C72" s="132">
        <f>+[2]BS17!$D30+[2]BS17!$D32</f>
        <v>611</v>
      </c>
      <c r="D72" s="49"/>
      <c r="E72" s="50">
        <f>+[2]BS17A!V633-[2]BS17A!V634</f>
        <v>11022340</v>
      </c>
      <c r="F72" s="21"/>
    </row>
    <row r="73" spans="1:7" ht="15" customHeight="1" x14ac:dyDescent="0.2">
      <c r="A73" s="221"/>
      <c r="B73" s="176" t="s">
        <v>118</v>
      </c>
      <c r="C73" s="132">
        <f>+[2]BS17!$D31</f>
        <v>260</v>
      </c>
      <c r="D73" s="49"/>
      <c r="E73" s="50">
        <f>+[2]BS17A!V634</f>
        <v>1284400</v>
      </c>
      <c r="F73" s="21"/>
    </row>
    <row r="74" spans="1:7" ht="15" customHeight="1" x14ac:dyDescent="0.2">
      <c r="A74" s="222" t="s">
        <v>119</v>
      </c>
      <c r="B74" s="216" t="s">
        <v>120</v>
      </c>
      <c r="C74" s="163">
        <f>+[2]BS17!$D33</f>
        <v>0</v>
      </c>
      <c r="D74" s="139"/>
      <c r="E74" s="140">
        <f>+[2]BS17A!V654</f>
        <v>0</v>
      </c>
      <c r="F74" s="21"/>
    </row>
    <row r="75" spans="1:7" ht="15" customHeight="1" x14ac:dyDescent="0.2">
      <c r="A75" s="223" t="s">
        <v>121</v>
      </c>
      <c r="B75" s="217" t="s">
        <v>122</v>
      </c>
      <c r="C75" s="174">
        <f>+[2]BS17!$D34</f>
        <v>0</v>
      </c>
      <c r="D75" s="61"/>
      <c r="E75" s="62">
        <f>+[2]BS17A!V783</f>
        <v>0</v>
      </c>
      <c r="F75" s="21"/>
    </row>
    <row r="76" spans="1:7" ht="15" customHeight="1" x14ac:dyDescent="0.2">
      <c r="A76" s="182"/>
      <c r="B76" s="238" t="s">
        <v>123</v>
      </c>
      <c r="C76" s="68">
        <f>+C55+C68+C75</f>
        <v>65842</v>
      </c>
      <c r="D76" s="44"/>
      <c r="E76" s="64">
        <f>+E55+E68+E75</f>
        <v>141886090</v>
      </c>
      <c r="F76" s="21"/>
    </row>
    <row r="77" spans="1:7" ht="12.75" x14ac:dyDescent="0.2">
      <c r="A77" s="21"/>
      <c r="B77" s="21"/>
      <c r="C77" s="21"/>
      <c r="D77" s="21"/>
      <c r="E77" s="21"/>
      <c r="F77" s="41"/>
      <c r="G77" s="42"/>
    </row>
    <row r="78" spans="1:7" ht="12.75" x14ac:dyDescent="0.2">
      <c r="A78" s="21"/>
      <c r="B78" s="21"/>
      <c r="C78" s="21"/>
      <c r="D78" s="21"/>
      <c r="E78" s="21"/>
      <c r="F78" s="41"/>
      <c r="G78" s="42"/>
    </row>
    <row r="79" spans="1:7" ht="12.75" x14ac:dyDescent="0.2">
      <c r="A79" s="549" t="s">
        <v>124</v>
      </c>
      <c r="B79" s="550"/>
      <c r="C79" s="550"/>
      <c r="D79" s="550"/>
      <c r="E79" s="551"/>
      <c r="F79" s="41"/>
      <c r="G79" s="42"/>
    </row>
    <row r="80" spans="1:7" ht="45" customHeight="1" x14ac:dyDescent="0.2">
      <c r="A80" s="1" t="s">
        <v>8</v>
      </c>
      <c r="B80" s="236" t="s">
        <v>9</v>
      </c>
      <c r="C80" s="2" t="s">
        <v>10</v>
      </c>
      <c r="D80" s="4"/>
      <c r="E80" s="5" t="s">
        <v>12</v>
      </c>
      <c r="F80" s="41"/>
      <c r="G80" s="42"/>
    </row>
    <row r="81" spans="1:6" ht="15" customHeight="1" x14ac:dyDescent="0.2">
      <c r="A81" s="213" t="s">
        <v>125</v>
      </c>
      <c r="B81" s="188" t="s">
        <v>126</v>
      </c>
      <c r="C81" s="135">
        <f>+[2]BS17!D49</f>
        <v>0</v>
      </c>
      <c r="D81" s="46"/>
      <c r="E81" s="65">
        <f>+SUM([2]BS17A!V673+[2]BS17A!V719)</f>
        <v>0</v>
      </c>
      <c r="F81" s="21"/>
    </row>
    <row r="82" spans="1:6" ht="15" customHeight="1" x14ac:dyDescent="0.2">
      <c r="A82" s="202">
        <v>2001</v>
      </c>
      <c r="B82" s="176" t="s">
        <v>127</v>
      </c>
      <c r="C82" s="132">
        <f>+[2]BS17!E130</f>
        <v>1551</v>
      </c>
      <c r="D82" s="49"/>
      <c r="E82" s="66">
        <f>+[2]BS17A!V1574</f>
        <v>13125620</v>
      </c>
      <c r="F82" s="21"/>
    </row>
    <row r="83" spans="1:6" ht="15" customHeight="1" x14ac:dyDescent="0.2">
      <c r="A83" s="207" t="s">
        <v>128</v>
      </c>
      <c r="B83" s="195" t="s">
        <v>129</v>
      </c>
      <c r="C83" s="156">
        <f>+[2]BS17A!D1849</f>
        <v>35</v>
      </c>
      <c r="D83" s="51"/>
      <c r="E83" s="67">
        <f>+[2]BS17A!V1849</f>
        <v>2351710</v>
      </c>
      <c r="F83" s="21"/>
    </row>
    <row r="84" spans="1:6" ht="17.25" customHeight="1" x14ac:dyDescent="0.2">
      <c r="A84" s="182"/>
      <c r="B84" s="238" t="s">
        <v>130</v>
      </c>
      <c r="C84" s="68">
        <f>+SUM(C81:C83)</f>
        <v>1586</v>
      </c>
      <c r="D84" s="44"/>
      <c r="E84" s="69">
        <f>SUM(E81:E83)</f>
        <v>15477330</v>
      </c>
      <c r="F84" s="21"/>
    </row>
    <row r="85" spans="1:6" ht="12.75" x14ac:dyDescent="0.2">
      <c r="A85" s="21"/>
      <c r="B85" s="21"/>
      <c r="C85" s="21"/>
      <c r="D85" s="21"/>
      <c r="E85" s="21"/>
      <c r="F85" s="21"/>
    </row>
    <row r="86" spans="1:6" ht="12.75" x14ac:dyDescent="0.2">
      <c r="A86" s="21"/>
      <c r="B86" s="21"/>
      <c r="C86" s="21"/>
      <c r="D86" s="21"/>
      <c r="E86" s="21"/>
      <c r="F86" s="18"/>
    </row>
    <row r="87" spans="1:6" ht="12.75" x14ac:dyDescent="0.15">
      <c r="A87" s="567" t="s">
        <v>131</v>
      </c>
      <c r="B87" s="568"/>
      <c r="C87" s="568"/>
      <c r="D87" s="568"/>
      <c r="E87" s="568"/>
      <c r="F87" s="569"/>
    </row>
    <row r="88" spans="1:6" ht="33.75" customHeight="1" x14ac:dyDescent="0.15">
      <c r="A88" s="570" t="s">
        <v>8</v>
      </c>
      <c r="B88" s="570" t="s">
        <v>9</v>
      </c>
      <c r="C88" s="552" t="s">
        <v>10</v>
      </c>
      <c r="D88" s="553"/>
      <c r="E88" s="553"/>
      <c r="F88" s="554"/>
    </row>
    <row r="89" spans="1:6" ht="45" customHeight="1" x14ac:dyDescent="0.15">
      <c r="A89" s="571"/>
      <c r="B89" s="571"/>
      <c r="C89" s="236" t="s">
        <v>132</v>
      </c>
      <c r="D89" s="7" t="s">
        <v>133</v>
      </c>
      <c r="E89" s="3" t="s">
        <v>134</v>
      </c>
      <c r="F89" s="237" t="s">
        <v>12</v>
      </c>
    </row>
    <row r="90" spans="1:6" ht="15" customHeight="1" x14ac:dyDescent="0.2">
      <c r="A90" s="179" t="s">
        <v>135</v>
      </c>
      <c r="B90" s="175" t="s">
        <v>136</v>
      </c>
      <c r="C90" s="166">
        <f>+[2]BS17!F68</f>
        <v>0</v>
      </c>
      <c r="D90" s="70">
        <f>+[2]BS17!G68</f>
        <v>0</v>
      </c>
      <c r="E90" s="71">
        <f>+[2]BS17!H68</f>
        <v>0</v>
      </c>
      <c r="F90" s="72">
        <f>[2]BS17A!V811</f>
        <v>0</v>
      </c>
    </row>
    <row r="91" spans="1:6" ht="15" customHeight="1" x14ac:dyDescent="0.2">
      <c r="A91" s="180" t="s">
        <v>137</v>
      </c>
      <c r="B91" s="176" t="s">
        <v>138</v>
      </c>
      <c r="C91" s="167">
        <f>+[2]BS17!F69</f>
        <v>208</v>
      </c>
      <c r="D91" s="73">
        <f>+[2]BS17!G69</f>
        <v>0</v>
      </c>
      <c r="E91" s="74">
        <f>+[2]BS17!H69</f>
        <v>0</v>
      </c>
      <c r="F91" s="75">
        <f>[2]BS17A!V882</f>
        <v>72231540</v>
      </c>
    </row>
    <row r="92" spans="1:6" ht="15" customHeight="1" x14ac:dyDescent="0.2">
      <c r="A92" s="180" t="s">
        <v>139</v>
      </c>
      <c r="B92" s="176" t="s">
        <v>140</v>
      </c>
      <c r="C92" s="167">
        <f>+[2]BS17!F70</f>
        <v>21</v>
      </c>
      <c r="D92" s="73">
        <f>+[2]BS17!G70</f>
        <v>3</v>
      </c>
      <c r="E92" s="74">
        <f>+[2]BS17!H70</f>
        <v>0</v>
      </c>
      <c r="F92" s="75">
        <f>[2]BS17A!V961</f>
        <v>1624240</v>
      </c>
    </row>
    <row r="93" spans="1:6" ht="15" customHeight="1" x14ac:dyDescent="0.2">
      <c r="A93" s="180" t="s">
        <v>141</v>
      </c>
      <c r="B93" s="176" t="s">
        <v>142</v>
      </c>
      <c r="C93" s="167">
        <f>+[2]BS17!F71</f>
        <v>5</v>
      </c>
      <c r="D93" s="73">
        <f>+[2]BS17!G71</f>
        <v>1</v>
      </c>
      <c r="E93" s="74">
        <f>+[2]BS17!H71</f>
        <v>0</v>
      </c>
      <c r="F93" s="75">
        <f>[2]BS17A!V1037</f>
        <v>820320</v>
      </c>
    </row>
    <row r="94" spans="1:6" ht="15" customHeight="1" x14ac:dyDescent="0.2">
      <c r="A94" s="180" t="s">
        <v>143</v>
      </c>
      <c r="B94" s="176" t="s">
        <v>144</v>
      </c>
      <c r="C94" s="167">
        <f>+[2]BS17!F72</f>
        <v>72</v>
      </c>
      <c r="D94" s="73">
        <f>+[2]BS17!G72</f>
        <v>1</v>
      </c>
      <c r="E94" s="74">
        <f>+[2]BS17!H72</f>
        <v>0</v>
      </c>
      <c r="F94" s="75">
        <f>[2]BS17A!V1098</f>
        <v>3475105</v>
      </c>
    </row>
    <row r="95" spans="1:6" ht="15" customHeight="1" x14ac:dyDescent="0.2">
      <c r="A95" s="180" t="s">
        <v>145</v>
      </c>
      <c r="B95" s="176" t="s">
        <v>146</v>
      </c>
      <c r="C95" s="167">
        <f>+[2]BS17!F73</f>
        <v>154</v>
      </c>
      <c r="D95" s="73">
        <f>+[2]BS17!G73</f>
        <v>2</v>
      </c>
      <c r="E95" s="74">
        <f>+[2]BS17!H73</f>
        <v>0</v>
      </c>
      <c r="F95" s="75">
        <f>[2]BS17A!V1166</f>
        <v>3342865</v>
      </c>
    </row>
    <row r="96" spans="1:6" ht="15" customHeight="1" x14ac:dyDescent="0.2">
      <c r="A96" s="180" t="s">
        <v>147</v>
      </c>
      <c r="B96" s="176" t="s">
        <v>148</v>
      </c>
      <c r="C96" s="167">
        <f>+[2]BS17!F74</f>
        <v>6</v>
      </c>
      <c r="D96" s="73">
        <f>+[2]BS17!G74</f>
        <v>0</v>
      </c>
      <c r="E96" s="74">
        <f>+[2]BS17!H74</f>
        <v>0</v>
      </c>
      <c r="F96" s="75">
        <f>[2]BS17A!V1221</f>
        <v>960940</v>
      </c>
    </row>
    <row r="97" spans="1:6" ht="15" customHeight="1" x14ac:dyDescent="0.2">
      <c r="A97" s="180" t="s">
        <v>149</v>
      </c>
      <c r="B97" s="176" t="s">
        <v>150</v>
      </c>
      <c r="C97" s="167">
        <f>+[2]BS17!F75</f>
        <v>1</v>
      </c>
      <c r="D97" s="73">
        <f>+[2]BS17!G75</f>
        <v>0</v>
      </c>
      <c r="E97" s="74">
        <f>+[2]BS17!H75</f>
        <v>0</v>
      </c>
      <c r="F97" s="75">
        <f>[2]BS17A!V1287</f>
        <v>51080</v>
      </c>
    </row>
    <row r="98" spans="1:6" ht="15" customHeight="1" x14ac:dyDescent="0.2">
      <c r="A98" s="180" t="s">
        <v>151</v>
      </c>
      <c r="B98" s="176" t="s">
        <v>152</v>
      </c>
      <c r="C98" s="167">
        <f>+[2]BS17!F76</f>
        <v>170</v>
      </c>
      <c r="D98" s="73">
        <f>+[2]BS17!G76</f>
        <v>7</v>
      </c>
      <c r="E98" s="74">
        <f>+[2]BS17!H76</f>
        <v>0</v>
      </c>
      <c r="F98" s="75">
        <f>[2]BS17A!V1357</f>
        <v>39409570</v>
      </c>
    </row>
    <row r="99" spans="1:6" ht="15" customHeight="1" x14ac:dyDescent="0.2">
      <c r="A99" s="180" t="s">
        <v>153</v>
      </c>
      <c r="B99" s="176" t="s">
        <v>154</v>
      </c>
      <c r="C99" s="167">
        <f>+[2]BS17!F77</f>
        <v>12</v>
      </c>
      <c r="D99" s="73">
        <f>+[2]BS17!G77</f>
        <v>0</v>
      </c>
      <c r="E99" s="74">
        <f>+[2]BS17!H77</f>
        <v>0</v>
      </c>
      <c r="F99" s="75">
        <f>[2]BS17A!V1441</f>
        <v>1061570</v>
      </c>
    </row>
    <row r="100" spans="1:6" ht="15" customHeight="1" x14ac:dyDescent="0.2">
      <c r="A100" s="180" t="s">
        <v>155</v>
      </c>
      <c r="B100" s="176" t="s">
        <v>156</v>
      </c>
      <c r="C100" s="167">
        <f>+[2]BS17!F78</f>
        <v>28</v>
      </c>
      <c r="D100" s="73">
        <f>+[2]BS17!G78</f>
        <v>1</v>
      </c>
      <c r="E100" s="74">
        <f>+[2]BS17!H78</f>
        <v>0</v>
      </c>
      <c r="F100" s="75">
        <f>[2]BS17A!V1489</f>
        <v>4644585</v>
      </c>
    </row>
    <row r="101" spans="1:6" ht="15" customHeight="1" x14ac:dyDescent="0.2">
      <c r="A101" s="180" t="s">
        <v>157</v>
      </c>
      <c r="B101" s="176" t="s">
        <v>158</v>
      </c>
      <c r="C101" s="167">
        <f>+[2]BS17!F79</f>
        <v>8</v>
      </c>
      <c r="D101" s="73">
        <f>+[2]BS17!G79</f>
        <v>0</v>
      </c>
      <c r="E101" s="74">
        <f>+[2]BS17!H79</f>
        <v>0</v>
      </c>
      <c r="F101" s="75">
        <f>[2]BS17A!V1592</f>
        <v>1943040</v>
      </c>
    </row>
    <row r="102" spans="1:6" ht="15" customHeight="1" x14ac:dyDescent="0.2">
      <c r="A102" s="207" t="s">
        <v>159</v>
      </c>
      <c r="B102" s="195" t="s">
        <v>160</v>
      </c>
      <c r="C102" s="168">
        <f>+[2]BS17!F80</f>
        <v>38</v>
      </c>
      <c r="D102" s="76">
        <f>+[2]BS17!G80</f>
        <v>3</v>
      </c>
      <c r="E102" s="77">
        <f>+[2]BS17!H80</f>
        <v>0</v>
      </c>
      <c r="F102" s="78">
        <f>[2]BS17A!V1597</f>
        <v>7246640</v>
      </c>
    </row>
    <row r="103" spans="1:6" ht="15" customHeight="1" x14ac:dyDescent="0.2">
      <c r="A103" s="179" t="s">
        <v>161</v>
      </c>
      <c r="B103" s="175" t="s">
        <v>162</v>
      </c>
      <c r="C103" s="166">
        <f>+[2]BS17!F81</f>
        <v>60</v>
      </c>
      <c r="D103" s="70">
        <f>+[2]BS17!G81</f>
        <v>0</v>
      </c>
      <c r="E103" s="71">
        <f>+[2]BS17!H81</f>
        <v>0</v>
      </c>
      <c r="F103" s="72">
        <f>+[2]BS17A!V1631</f>
        <v>6777960</v>
      </c>
    </row>
    <row r="104" spans="1:6" ht="15" customHeight="1" x14ac:dyDescent="0.2">
      <c r="A104" s="180"/>
      <c r="B104" s="176" t="s">
        <v>163</v>
      </c>
      <c r="C104" s="167">
        <f>+[2]BS17A!D1635</f>
        <v>0</v>
      </c>
      <c r="D104" s="73">
        <f>+[2]BS17A!F1635</f>
        <v>0</v>
      </c>
      <c r="E104" s="74">
        <f>+[2]BS17A!G1635</f>
        <v>0</v>
      </c>
      <c r="F104" s="75">
        <f>+[2]BS17A!V1635</f>
        <v>0</v>
      </c>
    </row>
    <row r="105" spans="1:6" ht="15" customHeight="1" x14ac:dyDescent="0.2">
      <c r="A105" s="180"/>
      <c r="B105" s="176" t="s">
        <v>164</v>
      </c>
      <c r="C105" s="167">
        <f>+[2]BS17A!D1634</f>
        <v>36</v>
      </c>
      <c r="D105" s="73">
        <f>+[2]BS17A!F1634</f>
        <v>0</v>
      </c>
      <c r="E105" s="74">
        <f>+[2]BS17A!G1634</f>
        <v>0</v>
      </c>
      <c r="F105" s="75">
        <f>+[2]BS17A!V1634</f>
        <v>4506840</v>
      </c>
    </row>
    <row r="106" spans="1:6" ht="15" customHeight="1" x14ac:dyDescent="0.2">
      <c r="A106" s="181"/>
      <c r="B106" s="189" t="s">
        <v>165</v>
      </c>
      <c r="C106" s="169">
        <f>+[2]BS17A!D1632+[2]BS17A!D1633</f>
        <v>24</v>
      </c>
      <c r="D106" s="80">
        <f>+[2]BS17A!F1632+[2]BS17A!F1633</f>
        <v>0</v>
      </c>
      <c r="E106" s="81">
        <f>+[2]BS17A!G1632+[2]BS17A!G1633</f>
        <v>0</v>
      </c>
      <c r="F106" s="82">
        <f>+[2]BS17A!V1632+[2]BS17A!V1633</f>
        <v>2271120</v>
      </c>
    </row>
    <row r="107" spans="1:6" ht="15" customHeight="1" x14ac:dyDescent="0.2">
      <c r="A107" s="212" t="s">
        <v>166</v>
      </c>
      <c r="B107" s="211" t="s">
        <v>167</v>
      </c>
      <c r="C107" s="170">
        <f>+[2]BS17!F82</f>
        <v>44</v>
      </c>
      <c r="D107" s="83">
        <f>+[2]BS17!G82</f>
        <v>1</v>
      </c>
      <c r="E107" s="84">
        <f>+[2]BS17!H82</f>
        <v>0</v>
      </c>
      <c r="F107" s="85">
        <f>+[2]BS17A!V1639</f>
        <v>7939880</v>
      </c>
    </row>
    <row r="108" spans="1:6" ht="15" customHeight="1" x14ac:dyDescent="0.2">
      <c r="A108" s="208">
        <v>2106</v>
      </c>
      <c r="B108" s="189" t="s">
        <v>168</v>
      </c>
      <c r="C108" s="169">
        <f>[2]BS17A!D1845</f>
        <v>3</v>
      </c>
      <c r="D108" s="80">
        <f>[2]BS17A!F1845</f>
        <v>0</v>
      </c>
      <c r="E108" s="81">
        <f>[2]BS17A!G1845</f>
        <v>0</v>
      </c>
      <c r="F108" s="82">
        <f>+[2]BS17A!V1845</f>
        <v>157080</v>
      </c>
    </row>
    <row r="109" spans="1:6" ht="15" customHeight="1" x14ac:dyDescent="0.2">
      <c r="A109" s="187"/>
      <c r="B109" s="186" t="s">
        <v>169</v>
      </c>
      <c r="C109" s="171">
        <f>SUM(C90:C108)-C103</f>
        <v>830</v>
      </c>
      <c r="D109" s="87">
        <f>SUM(D90:D108)-D103</f>
        <v>19</v>
      </c>
      <c r="E109" s="88">
        <f>+SUM(E90:E103)+E107+E108</f>
        <v>0</v>
      </c>
      <c r="F109" s="89">
        <f>+SUM(F90:F103)+F107+F108</f>
        <v>151686415</v>
      </c>
    </row>
    <row r="110" spans="1:6" ht="12.75" x14ac:dyDescent="0.2">
      <c r="A110" s="21"/>
      <c r="B110" s="21"/>
      <c r="C110" s="21"/>
      <c r="D110" s="21"/>
      <c r="E110" s="21"/>
      <c r="F110" s="18"/>
    </row>
    <row r="111" spans="1:6" ht="12.75" x14ac:dyDescent="0.2">
      <c r="A111" s="21"/>
      <c r="B111" s="21"/>
      <c r="C111" s="21"/>
      <c r="D111" s="21"/>
      <c r="E111" s="21"/>
      <c r="F111" s="18"/>
    </row>
    <row r="112" spans="1:6" ht="12.75" x14ac:dyDescent="0.2">
      <c r="A112" s="549" t="s">
        <v>170</v>
      </c>
      <c r="B112" s="550"/>
      <c r="C112" s="550"/>
      <c r="D112" s="550"/>
      <c r="E112" s="551"/>
      <c r="F112" s="18"/>
    </row>
    <row r="113" spans="1:6" ht="49.5" customHeight="1" x14ac:dyDescent="0.2">
      <c r="A113" s="1" t="s">
        <v>8</v>
      </c>
      <c r="B113" s="1" t="s">
        <v>9</v>
      </c>
      <c r="C113" s="235" t="s">
        <v>10</v>
      </c>
      <c r="D113" s="3" t="s">
        <v>11</v>
      </c>
      <c r="E113" s="237" t="s">
        <v>12</v>
      </c>
      <c r="F113" s="18"/>
    </row>
    <row r="114" spans="1:6" ht="15" customHeight="1" x14ac:dyDescent="0.2">
      <c r="A114" s="179" t="s">
        <v>171</v>
      </c>
      <c r="B114" s="175" t="s">
        <v>172</v>
      </c>
      <c r="C114" s="135">
        <f>+[2]BS17A!D1636</f>
        <v>89</v>
      </c>
      <c r="D114" s="90">
        <f>+[2]BS17A!U1636</f>
        <v>125180</v>
      </c>
      <c r="E114" s="91">
        <f>+[2]BS17A!V1636</f>
        <v>11141020</v>
      </c>
      <c r="F114" s="21"/>
    </row>
    <row r="115" spans="1:6" ht="15" customHeight="1" x14ac:dyDescent="0.2">
      <c r="A115" s="181" t="s">
        <v>173</v>
      </c>
      <c r="B115" s="205" t="s">
        <v>174</v>
      </c>
      <c r="C115" s="156">
        <f>+[2]BS17A!D1637</f>
        <v>3</v>
      </c>
      <c r="D115" s="92">
        <f>+[2]BS17A!U1637</f>
        <v>131720</v>
      </c>
      <c r="E115" s="67">
        <f>+[2]BS17A!V1637</f>
        <v>395160</v>
      </c>
      <c r="F115" s="21"/>
    </row>
    <row r="116" spans="1:6" ht="15" customHeight="1" x14ac:dyDescent="0.2">
      <c r="A116" s="68"/>
      <c r="B116" s="141" t="s">
        <v>175</v>
      </c>
      <c r="C116" s="68">
        <f>SUM(C114:C115)</f>
        <v>92</v>
      </c>
      <c r="D116" s="44"/>
      <c r="E116" s="69">
        <f>SUM(E114:E115)</f>
        <v>11536180</v>
      </c>
      <c r="F116" s="21"/>
    </row>
    <row r="117" spans="1:6" ht="12.75" x14ac:dyDescent="0.2">
      <c r="A117" s="21"/>
      <c r="B117" s="21"/>
      <c r="C117" s="21"/>
      <c r="D117" s="21"/>
      <c r="E117" s="21"/>
      <c r="F117" s="21"/>
    </row>
    <row r="118" spans="1:6" ht="12.75" x14ac:dyDescent="0.2">
      <c r="A118" s="21"/>
      <c r="B118" s="21"/>
      <c r="C118" s="21"/>
      <c r="D118" s="21"/>
      <c r="E118" s="21"/>
      <c r="F118" s="18"/>
    </row>
    <row r="119" spans="1:6" ht="12.75" x14ac:dyDescent="0.2">
      <c r="A119" s="566" t="s">
        <v>176</v>
      </c>
      <c r="B119" s="566"/>
      <c r="C119" s="566"/>
      <c r="D119" s="21"/>
      <c r="E119" s="21"/>
      <c r="F119" s="18"/>
    </row>
    <row r="120" spans="1:6" ht="38.25" customHeight="1" x14ac:dyDescent="0.2">
      <c r="A120" s="1" t="s">
        <v>8</v>
      </c>
      <c r="B120" s="1" t="s">
        <v>10</v>
      </c>
      <c r="C120" s="1" t="s">
        <v>12</v>
      </c>
      <c r="D120" s="21"/>
      <c r="E120" s="21"/>
      <c r="F120" s="21"/>
    </row>
    <row r="121" spans="1:6" ht="15" customHeight="1" x14ac:dyDescent="0.2">
      <c r="A121" s="93" t="s">
        <v>177</v>
      </c>
      <c r="B121" s="94" t="s">
        <v>178</v>
      </c>
      <c r="C121" s="95">
        <f>+[2]BS17A!V1871+[2]BS17A!V1889+[2]BS17A!V1914</f>
        <v>15304400</v>
      </c>
      <c r="D121" s="21"/>
      <c r="E121" s="21"/>
      <c r="F121" s="21"/>
    </row>
    <row r="122" spans="1:6" ht="12.75" x14ac:dyDescent="0.2">
      <c r="A122" s="21"/>
      <c r="B122" s="21"/>
      <c r="C122" s="21"/>
      <c r="D122" s="21"/>
      <c r="E122" s="18"/>
      <c r="F122" s="21"/>
    </row>
    <row r="123" spans="1:6" ht="12.75" x14ac:dyDescent="0.2">
      <c r="A123" s="21"/>
      <c r="B123" s="21"/>
      <c r="C123" s="21"/>
      <c r="D123" s="21"/>
      <c r="E123" s="18"/>
      <c r="F123" s="21"/>
    </row>
    <row r="124" spans="1:6" ht="12.75" x14ac:dyDescent="0.2">
      <c r="A124" s="549" t="s">
        <v>179</v>
      </c>
      <c r="B124" s="550"/>
      <c r="C124" s="550"/>
      <c r="D124" s="550"/>
      <c r="E124" s="551"/>
      <c r="F124" s="18"/>
    </row>
    <row r="125" spans="1:6" ht="45.75" customHeight="1" x14ac:dyDescent="0.2">
      <c r="A125" s="1" t="s">
        <v>8</v>
      </c>
      <c r="B125" s="1" t="s">
        <v>9</v>
      </c>
      <c r="C125" s="235" t="s">
        <v>10</v>
      </c>
      <c r="D125" s="3" t="s">
        <v>11</v>
      </c>
      <c r="E125" s="237" t="s">
        <v>12</v>
      </c>
      <c r="F125" s="18"/>
    </row>
    <row r="126" spans="1:6" ht="15" customHeight="1" x14ac:dyDescent="0.2">
      <c r="A126" s="179" t="s">
        <v>180</v>
      </c>
      <c r="B126" s="196" t="s">
        <v>181</v>
      </c>
      <c r="C126" s="135">
        <f>+[2]BS17A!$D59</f>
        <v>4925</v>
      </c>
      <c r="D126" s="31">
        <f>+[2]BS17A!$U59</f>
        <v>32060</v>
      </c>
      <c r="E126" s="96">
        <f>+[2]BS17A!$V59</f>
        <v>157895500</v>
      </c>
      <c r="F126" s="21"/>
    </row>
    <row r="127" spans="1:6" ht="15" customHeight="1" x14ac:dyDescent="0.2">
      <c r="A127" s="180" t="s">
        <v>182</v>
      </c>
      <c r="B127" s="177" t="s">
        <v>183</v>
      </c>
      <c r="C127" s="132">
        <f>+[2]BS17A!$D60</f>
        <v>0</v>
      </c>
      <c r="D127" s="26">
        <f>+[2]BS17A!$U60</f>
        <v>29510</v>
      </c>
      <c r="E127" s="97">
        <f>+[2]BS17A!$V60</f>
        <v>0</v>
      </c>
      <c r="F127" s="21"/>
    </row>
    <row r="128" spans="1:6" ht="15" customHeight="1" x14ac:dyDescent="0.2">
      <c r="A128" s="180" t="s">
        <v>184</v>
      </c>
      <c r="B128" s="177" t="s">
        <v>185</v>
      </c>
      <c r="C128" s="132">
        <f>+[2]BS17A!$D61</f>
        <v>0</v>
      </c>
      <c r="D128" s="26">
        <f>+[2]BS17A!$U61</f>
        <v>24600</v>
      </c>
      <c r="E128" s="97">
        <f>+[2]BS17A!$V61</f>
        <v>0</v>
      </c>
      <c r="F128" s="21"/>
    </row>
    <row r="129" spans="1:6" ht="15" customHeight="1" x14ac:dyDescent="0.2">
      <c r="A129" s="180" t="s">
        <v>186</v>
      </c>
      <c r="B129" s="177" t="s">
        <v>187</v>
      </c>
      <c r="C129" s="132">
        <f>SUM([2]BS17A!D62:D64)</f>
        <v>221</v>
      </c>
      <c r="D129" s="26">
        <f>+[2]BS17A!$U62</f>
        <v>133290</v>
      </c>
      <c r="E129" s="97">
        <f>SUM([2]BS17A!V62:V64)</f>
        <v>29457090</v>
      </c>
      <c r="F129" s="21"/>
    </row>
    <row r="130" spans="1:6" ht="15" customHeight="1" x14ac:dyDescent="0.2">
      <c r="A130" s="180" t="s">
        <v>188</v>
      </c>
      <c r="B130" s="177" t="s">
        <v>189</v>
      </c>
      <c r="C130" s="132">
        <f>SUM([2]BS17A!D65:D67)</f>
        <v>230</v>
      </c>
      <c r="D130" s="26">
        <f>+[2]BS17A!$U65</f>
        <v>64370</v>
      </c>
      <c r="E130" s="97">
        <f>SUM([2]BS17A!V65:V67)</f>
        <v>14805100</v>
      </c>
      <c r="F130" s="21"/>
    </row>
    <row r="131" spans="1:6" ht="15" customHeight="1" x14ac:dyDescent="0.2">
      <c r="A131" s="180" t="s">
        <v>190</v>
      </c>
      <c r="B131" s="177" t="s">
        <v>191</v>
      </c>
      <c r="C131" s="132">
        <f>+[2]BS17A!D68</f>
        <v>165</v>
      </c>
      <c r="D131" s="26">
        <f>+[2]BS17A!$U68</f>
        <v>57760</v>
      </c>
      <c r="E131" s="97">
        <f>+[2]BS17A!$V68</f>
        <v>9530400</v>
      </c>
      <c r="F131" s="21"/>
    </row>
    <row r="132" spans="1:6" ht="15" customHeight="1" x14ac:dyDescent="0.2">
      <c r="A132" s="180" t="s">
        <v>192</v>
      </c>
      <c r="B132" s="177" t="s">
        <v>193</v>
      </c>
      <c r="C132" s="132">
        <f>+[2]BS17A!$D69</f>
        <v>0</v>
      </c>
      <c r="D132" s="26">
        <f>+[2]BS17A!$U69</f>
        <v>16390</v>
      </c>
      <c r="E132" s="97">
        <f>+[2]BS17A!$V69</f>
        <v>0</v>
      </c>
      <c r="F132" s="21"/>
    </row>
    <row r="133" spans="1:6" ht="15" customHeight="1" x14ac:dyDescent="0.2">
      <c r="A133" s="180" t="s">
        <v>194</v>
      </c>
      <c r="B133" s="177" t="s">
        <v>195</v>
      </c>
      <c r="C133" s="132">
        <f>+[2]BS17A!$D70</f>
        <v>0</v>
      </c>
      <c r="D133" s="26">
        <f>+[2]BS17A!$U70</f>
        <v>25680</v>
      </c>
      <c r="E133" s="97">
        <f>+[2]BS17A!$V70</f>
        <v>0</v>
      </c>
      <c r="F133" s="21"/>
    </row>
    <row r="134" spans="1:6" ht="15" customHeight="1" x14ac:dyDescent="0.2">
      <c r="A134" s="180" t="s">
        <v>196</v>
      </c>
      <c r="B134" s="177" t="s">
        <v>197</v>
      </c>
      <c r="C134" s="132">
        <f>+[2]BS17A!$D73</f>
        <v>0</v>
      </c>
      <c r="D134" s="26">
        <f>+[2]BS17A!$U73</f>
        <v>25890</v>
      </c>
      <c r="E134" s="97">
        <f>+[2]BS17A!$V73</f>
        <v>0</v>
      </c>
      <c r="F134" s="21"/>
    </row>
    <row r="135" spans="1:6" ht="15" customHeight="1" x14ac:dyDescent="0.2">
      <c r="A135" s="180" t="s">
        <v>198</v>
      </c>
      <c r="B135" s="177" t="s">
        <v>199</v>
      </c>
      <c r="C135" s="132">
        <f>+[2]BS17A!$D71</f>
        <v>0</v>
      </c>
      <c r="D135" s="26">
        <f>+[2]BS17A!$U71</f>
        <v>26730</v>
      </c>
      <c r="E135" s="97">
        <f>+[2]BS17A!$V71</f>
        <v>0</v>
      </c>
      <c r="F135" s="21"/>
    </row>
    <row r="136" spans="1:6" ht="15" customHeight="1" x14ac:dyDescent="0.2">
      <c r="A136" s="180" t="s">
        <v>200</v>
      </c>
      <c r="B136" s="177" t="s">
        <v>201</v>
      </c>
      <c r="C136" s="132">
        <f>+[2]BS17A!$D76</f>
        <v>0</v>
      </c>
      <c r="D136" s="26">
        <f>+[2]BS17A!$U76</f>
        <v>32060</v>
      </c>
      <c r="E136" s="97">
        <f>+[2]BS17A!$V76</f>
        <v>0</v>
      </c>
      <c r="F136" s="21"/>
    </row>
    <row r="137" spans="1:6" ht="15" customHeight="1" x14ac:dyDescent="0.2">
      <c r="A137" s="180" t="s">
        <v>202</v>
      </c>
      <c r="B137" s="176" t="s">
        <v>203</v>
      </c>
      <c r="C137" s="132">
        <f>+[2]BS17A!$D79</f>
        <v>37</v>
      </c>
      <c r="D137" s="26">
        <f>+[2]BS17A!$U79</f>
        <v>6220</v>
      </c>
      <c r="E137" s="97">
        <f>+[2]BS17A!$V79</f>
        <v>230140</v>
      </c>
      <c r="F137" s="21"/>
    </row>
    <row r="138" spans="1:6" ht="15" customHeight="1" x14ac:dyDescent="0.2">
      <c r="A138" s="180" t="s">
        <v>204</v>
      </c>
      <c r="B138" s="176" t="s">
        <v>205</v>
      </c>
      <c r="C138" s="132">
        <f>+[2]BS17A!$D80</f>
        <v>0</v>
      </c>
      <c r="D138" s="26">
        <f>+[2]BS17A!$U80</f>
        <v>44930</v>
      </c>
      <c r="E138" s="97">
        <f>+[2]BS17A!$V80</f>
        <v>0</v>
      </c>
      <c r="F138" s="21"/>
    </row>
    <row r="139" spans="1:6" ht="15" customHeight="1" x14ac:dyDescent="0.2">
      <c r="A139" s="181"/>
      <c r="B139" s="209" t="s">
        <v>206</v>
      </c>
      <c r="C139" s="165">
        <f>SUM(C126:C138)</f>
        <v>5578</v>
      </c>
      <c r="D139" s="98"/>
      <c r="E139" s="99">
        <f>SUM(E126:E138)</f>
        <v>211918230</v>
      </c>
      <c r="F139" s="21"/>
    </row>
    <row r="140" spans="1:6" ht="15" customHeight="1" x14ac:dyDescent="0.2">
      <c r="A140" s="179"/>
      <c r="B140" s="210" t="s">
        <v>207</v>
      </c>
      <c r="C140" s="135"/>
      <c r="D140" s="31"/>
      <c r="E140" s="96"/>
      <c r="F140" s="21"/>
    </row>
    <row r="141" spans="1:6" ht="15" customHeight="1" x14ac:dyDescent="0.2">
      <c r="A141" s="180" t="s">
        <v>208</v>
      </c>
      <c r="B141" s="177" t="s">
        <v>209</v>
      </c>
      <c r="C141" s="132">
        <f>+[2]BS17A!$D72</f>
        <v>0</v>
      </c>
      <c r="D141" s="26">
        <f>+[2]BS17A!$U72</f>
        <v>10780</v>
      </c>
      <c r="E141" s="97">
        <f>+[2]BS17A!$V72</f>
        <v>0</v>
      </c>
      <c r="F141" s="21"/>
    </row>
    <row r="142" spans="1:6" ht="15" customHeight="1" x14ac:dyDescent="0.2">
      <c r="A142" s="180" t="s">
        <v>210</v>
      </c>
      <c r="B142" s="177" t="s">
        <v>211</v>
      </c>
      <c r="C142" s="132">
        <f>+[2]BS17A!$D74</f>
        <v>0</v>
      </c>
      <c r="D142" s="26">
        <f>+[2]BS17A!$U74</f>
        <v>10780</v>
      </c>
      <c r="E142" s="97">
        <f>+[2]BS17A!$V74</f>
        <v>0</v>
      </c>
      <c r="F142" s="21"/>
    </row>
    <row r="143" spans="1:6" ht="15" customHeight="1" x14ac:dyDescent="0.2">
      <c r="A143" s="180" t="s">
        <v>212</v>
      </c>
      <c r="B143" s="177" t="s">
        <v>213</v>
      </c>
      <c r="C143" s="132">
        <f>+[2]BS17A!$D75</f>
        <v>5</v>
      </c>
      <c r="D143" s="26">
        <f>+[2]BS17A!$U75</f>
        <v>4750</v>
      </c>
      <c r="E143" s="97">
        <f>+[2]BS17A!$V75</f>
        <v>23750</v>
      </c>
      <c r="F143" s="21"/>
    </row>
    <row r="144" spans="1:6" ht="15" customHeight="1" x14ac:dyDescent="0.2">
      <c r="A144" s="180" t="s">
        <v>214</v>
      </c>
      <c r="B144" s="177" t="s">
        <v>215</v>
      </c>
      <c r="C144" s="132">
        <f>+[2]BS17A!$D77</f>
        <v>0</v>
      </c>
      <c r="D144" s="26">
        <f>+[2]BS17A!$U77</f>
        <v>86670</v>
      </c>
      <c r="E144" s="97">
        <f>+[2]BS17A!$V77</f>
        <v>0</v>
      </c>
      <c r="F144" s="21"/>
    </row>
    <row r="145" spans="1:6" ht="15" customHeight="1" x14ac:dyDescent="0.2">
      <c r="A145" s="180" t="s">
        <v>216</v>
      </c>
      <c r="B145" s="177" t="s">
        <v>217</v>
      </c>
      <c r="C145" s="132">
        <f>+[2]BS17A!$D78</f>
        <v>0</v>
      </c>
      <c r="D145" s="26">
        <f>+[2]BS17A!$U78</f>
        <v>10230</v>
      </c>
      <c r="E145" s="97">
        <f>+[2]BS17A!$V78</f>
        <v>0</v>
      </c>
      <c r="F145" s="21"/>
    </row>
    <row r="146" spans="1:6" ht="15" customHeight="1" x14ac:dyDescent="0.2">
      <c r="A146" s="180" t="s">
        <v>218</v>
      </c>
      <c r="B146" s="177" t="s">
        <v>219</v>
      </c>
      <c r="C146" s="132">
        <f>+[2]BS17A!$D81</f>
        <v>0</v>
      </c>
      <c r="D146" s="26">
        <f>+[2]BS17A!$U81</f>
        <v>7880</v>
      </c>
      <c r="E146" s="97">
        <f>+[2]BS17A!$V81</f>
        <v>0</v>
      </c>
      <c r="F146" s="21"/>
    </row>
    <row r="147" spans="1:6" ht="15" customHeight="1" x14ac:dyDescent="0.2">
      <c r="A147" s="181"/>
      <c r="B147" s="209" t="s">
        <v>220</v>
      </c>
      <c r="C147" s="165">
        <f>SUM(C141:C146)</f>
        <v>5</v>
      </c>
      <c r="D147" s="98"/>
      <c r="E147" s="99">
        <f>SUM(E141:E146)</f>
        <v>23750</v>
      </c>
      <c r="F147" s="21"/>
    </row>
    <row r="148" spans="1:6" ht="15" customHeight="1" x14ac:dyDescent="0.2">
      <c r="A148" s="187"/>
      <c r="B148" s="186" t="s">
        <v>221</v>
      </c>
      <c r="C148" s="35">
        <f>+C139+C147</f>
        <v>5583</v>
      </c>
      <c r="D148" s="100"/>
      <c r="E148" s="101">
        <f>+E139+E147</f>
        <v>211941980</v>
      </c>
      <c r="F148" s="21"/>
    </row>
    <row r="149" spans="1:6" ht="12.75" x14ac:dyDescent="0.2">
      <c r="A149" s="21"/>
      <c r="B149" s="21"/>
      <c r="C149" s="21"/>
      <c r="D149" s="21"/>
      <c r="E149" s="21"/>
      <c r="F149" s="21"/>
    </row>
    <row r="150" spans="1:6" ht="12.75" x14ac:dyDescent="0.2">
      <c r="A150" s="21"/>
      <c r="B150" s="21"/>
      <c r="C150" s="21"/>
      <c r="D150" s="21"/>
      <c r="E150" s="21"/>
      <c r="F150" s="18"/>
    </row>
    <row r="151" spans="1:6" ht="12.75" x14ac:dyDescent="0.2">
      <c r="A151" s="567" t="s">
        <v>222</v>
      </c>
      <c r="B151" s="568"/>
      <c r="C151" s="568"/>
      <c r="D151" s="568"/>
      <c r="E151" s="569"/>
      <c r="F151" s="18"/>
    </row>
    <row r="152" spans="1:6" ht="47.25" customHeight="1" x14ac:dyDescent="0.2">
      <c r="A152" s="1" t="s">
        <v>8</v>
      </c>
      <c r="B152" s="1" t="s">
        <v>9</v>
      </c>
      <c r="C152" s="235" t="s">
        <v>10</v>
      </c>
      <c r="D152" s="3" t="s">
        <v>11</v>
      </c>
      <c r="E152" s="237" t="s">
        <v>12</v>
      </c>
      <c r="F152" s="21"/>
    </row>
    <row r="153" spans="1:6" ht="15" customHeight="1" x14ac:dyDescent="0.2">
      <c r="A153" s="179" t="s">
        <v>223</v>
      </c>
      <c r="B153" s="196" t="s">
        <v>224</v>
      </c>
      <c r="C153" s="135">
        <f>+[2]BS17A!D43</f>
        <v>226</v>
      </c>
      <c r="D153" s="31">
        <f>[2]BS17A!U43</f>
        <v>740</v>
      </c>
      <c r="E153" s="96">
        <f>+[2]BS17A!V43</f>
        <v>167240</v>
      </c>
      <c r="F153" s="21"/>
    </row>
    <row r="154" spans="1:6" ht="15" customHeight="1" x14ac:dyDescent="0.2">
      <c r="A154" s="181" t="s">
        <v>225</v>
      </c>
      <c r="B154" s="178" t="s">
        <v>226</v>
      </c>
      <c r="C154" s="142">
        <f>+[2]BS17A!D44+[2]BS17A!D45</f>
        <v>0</v>
      </c>
      <c r="D154" s="33">
        <f>[2]BS17A!U44</f>
        <v>100</v>
      </c>
      <c r="E154" s="102">
        <f>+[2]BS17A!V44+[2]BS17A!V45</f>
        <v>0</v>
      </c>
      <c r="F154" s="21"/>
    </row>
    <row r="155" spans="1:6" ht="15" customHeight="1" x14ac:dyDescent="0.2">
      <c r="A155" s="187"/>
      <c r="B155" s="186" t="s">
        <v>227</v>
      </c>
      <c r="C155" s="35">
        <f>SUM(C153:C154)</f>
        <v>226</v>
      </c>
      <c r="D155" s="100"/>
      <c r="E155" s="101">
        <f>SUM(E153:E154)</f>
        <v>167240</v>
      </c>
      <c r="F155" s="21"/>
    </row>
    <row r="156" spans="1:6" ht="12.75" x14ac:dyDescent="0.2">
      <c r="A156" s="21"/>
      <c r="B156" s="21"/>
      <c r="C156" s="21"/>
      <c r="D156" s="21"/>
      <c r="E156" s="21"/>
      <c r="F156" s="21"/>
    </row>
    <row r="157" spans="1:6" ht="12.75" x14ac:dyDescent="0.2">
      <c r="A157" s="21"/>
      <c r="B157" s="21"/>
      <c r="C157" s="21"/>
      <c r="D157" s="21"/>
      <c r="E157" s="21"/>
      <c r="F157" s="21"/>
    </row>
    <row r="158" spans="1:6" ht="18" customHeight="1" x14ac:dyDescent="0.2">
      <c r="A158" s="567" t="s">
        <v>228</v>
      </c>
      <c r="B158" s="568"/>
      <c r="C158" s="568"/>
      <c r="D158" s="568"/>
      <c r="E158" s="569"/>
      <c r="F158" s="18"/>
    </row>
    <row r="159" spans="1:6" ht="47.25" customHeight="1" x14ac:dyDescent="0.2">
      <c r="A159" s="1" t="s">
        <v>8</v>
      </c>
      <c r="B159" s="1" t="s">
        <v>9</v>
      </c>
      <c r="C159" s="235" t="s">
        <v>10</v>
      </c>
      <c r="D159" s="3" t="s">
        <v>11</v>
      </c>
      <c r="E159" s="237" t="s">
        <v>12</v>
      </c>
      <c r="F159" s="21"/>
    </row>
    <row r="160" spans="1:6" ht="15" customHeight="1" x14ac:dyDescent="0.2">
      <c r="A160" s="179" t="s">
        <v>229</v>
      </c>
      <c r="B160" s="175" t="s">
        <v>230</v>
      </c>
      <c r="C160" s="160">
        <f>+[2]BS17A!$D1481</f>
        <v>0</v>
      </c>
      <c r="D160" s="31">
        <f>+[2]BS17A!$U1481</f>
        <v>40370</v>
      </c>
      <c r="E160" s="96">
        <f>+[2]BS17A!$V1481</f>
        <v>0</v>
      </c>
      <c r="F160" s="21"/>
    </row>
    <row r="161" spans="1:6" ht="15" customHeight="1" x14ac:dyDescent="0.2">
      <c r="A161" s="180" t="s">
        <v>231</v>
      </c>
      <c r="B161" s="177" t="s">
        <v>232</v>
      </c>
      <c r="C161" s="164">
        <f>+[2]BS17A!$D1482</f>
        <v>0</v>
      </c>
      <c r="D161" s="26">
        <f>+[2]BS17A!$U1482</f>
        <v>25390</v>
      </c>
      <c r="E161" s="97">
        <f>+[2]BS17A!$V1482</f>
        <v>0</v>
      </c>
      <c r="F161" s="21"/>
    </row>
    <row r="162" spans="1:6" ht="15" customHeight="1" x14ac:dyDescent="0.2">
      <c r="A162" s="180" t="s">
        <v>233</v>
      </c>
      <c r="B162" s="176" t="s">
        <v>234</v>
      </c>
      <c r="C162" s="164">
        <f>+[2]BS17A!$D1483</f>
        <v>0</v>
      </c>
      <c r="D162" s="26">
        <f>+[2]BS17A!$U1483</f>
        <v>26150</v>
      </c>
      <c r="E162" s="97">
        <f>+[2]BS17A!$V1483</f>
        <v>0</v>
      </c>
      <c r="F162" s="21"/>
    </row>
    <row r="163" spans="1:6" ht="15" customHeight="1" x14ac:dyDescent="0.2">
      <c r="A163" s="180" t="s">
        <v>235</v>
      </c>
      <c r="B163" s="177" t="s">
        <v>236</v>
      </c>
      <c r="C163" s="164">
        <f>+[2]BS17A!$D1484</f>
        <v>0</v>
      </c>
      <c r="D163" s="26">
        <f>+[2]BS17A!$U1484</f>
        <v>784500</v>
      </c>
      <c r="E163" s="97">
        <f>+[2]BS17A!$V1484</f>
        <v>0</v>
      </c>
      <c r="F163" s="21"/>
    </row>
    <row r="164" spans="1:6" ht="15" customHeight="1" x14ac:dyDescent="0.2">
      <c r="A164" s="180" t="s">
        <v>237</v>
      </c>
      <c r="B164" s="177" t="s">
        <v>238</v>
      </c>
      <c r="C164" s="164">
        <f>+[2]BS17A!$D1485</f>
        <v>0</v>
      </c>
      <c r="D164" s="26">
        <f>+[2]BS17A!$U1485</f>
        <v>356330</v>
      </c>
      <c r="E164" s="97">
        <f>+[2]BS17A!$V1485</f>
        <v>0</v>
      </c>
      <c r="F164" s="21"/>
    </row>
    <row r="165" spans="1:6" ht="15" customHeight="1" x14ac:dyDescent="0.2">
      <c r="A165" s="180" t="s">
        <v>239</v>
      </c>
      <c r="B165" s="177" t="s">
        <v>240</v>
      </c>
      <c r="C165" s="164">
        <f>+[2]BS17A!$D1486</f>
        <v>0</v>
      </c>
      <c r="D165" s="26">
        <f>+[2]BS17A!$U1486</f>
        <v>544860</v>
      </c>
      <c r="E165" s="97">
        <f>+[2]BS17A!$V1486</f>
        <v>0</v>
      </c>
      <c r="F165" s="21"/>
    </row>
    <row r="166" spans="1:6" ht="15" customHeight="1" x14ac:dyDescent="0.2">
      <c r="A166" s="207" t="s">
        <v>241</v>
      </c>
      <c r="B166" s="205" t="s">
        <v>242</v>
      </c>
      <c r="C166" s="164">
        <f>+[2]BS17A!$D1487</f>
        <v>0</v>
      </c>
      <c r="D166" s="26">
        <f>+[2]BS17A!$U1487</f>
        <v>49130</v>
      </c>
      <c r="E166" s="97">
        <f>+[2]BS17A!$V1487</f>
        <v>0</v>
      </c>
      <c r="F166" s="21"/>
    </row>
    <row r="167" spans="1:6" ht="15" customHeight="1" x14ac:dyDescent="0.2">
      <c r="A167" s="208">
        <v>1901029</v>
      </c>
      <c r="B167" s="206" t="s">
        <v>243</v>
      </c>
      <c r="C167" s="161">
        <f>+[2]BS17A!$D1488</f>
        <v>0</v>
      </c>
      <c r="D167" s="33">
        <f>+[2]BS17A!$U1488</f>
        <v>638670</v>
      </c>
      <c r="E167" s="102">
        <f>+[2]BS17A!$V1488</f>
        <v>0</v>
      </c>
      <c r="F167" s="21"/>
    </row>
    <row r="168" spans="1:6" ht="15" customHeight="1" x14ac:dyDescent="0.2">
      <c r="A168" s="86"/>
      <c r="B168" s="103" t="s">
        <v>244</v>
      </c>
      <c r="C168" s="104">
        <f>SUM(C160:C167)</f>
        <v>0</v>
      </c>
      <c r="D168" s="105"/>
      <c r="E168" s="106">
        <f>SUM(E160:E167)</f>
        <v>0</v>
      </c>
      <c r="F168" s="21"/>
    </row>
    <row r="169" spans="1:6" ht="12.75" x14ac:dyDescent="0.2">
      <c r="A169" s="21"/>
      <c r="B169" s="21"/>
      <c r="C169" s="21"/>
      <c r="D169" s="21"/>
      <c r="E169" s="21"/>
      <c r="F169" s="21"/>
    </row>
    <row r="170" spans="1:6" ht="18" customHeight="1" x14ac:dyDescent="0.2">
      <c r="A170" s="21"/>
      <c r="B170" s="21"/>
      <c r="C170" s="21"/>
      <c r="D170" s="21"/>
      <c r="E170" s="21"/>
      <c r="F170" s="21"/>
    </row>
    <row r="171" spans="1:6" ht="18" customHeight="1" x14ac:dyDescent="0.2">
      <c r="A171" s="549" t="s">
        <v>245</v>
      </c>
      <c r="B171" s="550"/>
      <c r="C171" s="550"/>
      <c r="D171" s="550"/>
      <c r="E171" s="551"/>
      <c r="F171" s="18"/>
    </row>
    <row r="172" spans="1:6" ht="46.5" customHeight="1" x14ac:dyDescent="0.2">
      <c r="A172" s="1" t="s">
        <v>8</v>
      </c>
      <c r="B172" s="1" t="s">
        <v>9</v>
      </c>
      <c r="C172" s="235" t="s">
        <v>10</v>
      </c>
      <c r="D172" s="3" t="s">
        <v>11</v>
      </c>
      <c r="E172" s="237" t="s">
        <v>12</v>
      </c>
      <c r="F172" s="21"/>
    </row>
    <row r="173" spans="1:6" ht="12.75" customHeight="1" x14ac:dyDescent="0.2">
      <c r="A173" s="203">
        <v>1101004</v>
      </c>
      <c r="B173" s="9" t="s">
        <v>246</v>
      </c>
      <c r="C173" s="135">
        <f>+[2]BS17A!$D805</f>
        <v>0</v>
      </c>
      <c r="D173" s="31">
        <f>+[2]BS17A!$U805</f>
        <v>13840</v>
      </c>
      <c r="E173" s="96">
        <f>+[2]BS17A!$V805</f>
        <v>0</v>
      </c>
      <c r="F173" s="21"/>
    </row>
    <row r="174" spans="1:6" ht="12.75" customHeight="1" x14ac:dyDescent="0.2">
      <c r="A174" s="202">
        <v>1101006</v>
      </c>
      <c r="B174" s="10" t="s">
        <v>247</v>
      </c>
      <c r="C174" s="132">
        <f>+[2]BS17A!$D806</f>
        <v>17</v>
      </c>
      <c r="D174" s="26">
        <f>+[2]BS17A!$U806</f>
        <v>11070</v>
      </c>
      <c r="E174" s="97">
        <f>+[2]BS17A!$V806</f>
        <v>188190</v>
      </c>
      <c r="F174" s="21"/>
    </row>
    <row r="175" spans="1:6" ht="24.75" customHeight="1" x14ac:dyDescent="0.2">
      <c r="A175" s="202" t="s">
        <v>248</v>
      </c>
      <c r="B175" s="11" t="s">
        <v>249</v>
      </c>
      <c r="C175" s="132">
        <f>+[2]BS17A!$D1197</f>
        <v>659</v>
      </c>
      <c r="D175" s="26">
        <f>+[2]BS17A!$U1197</f>
        <v>4740</v>
      </c>
      <c r="E175" s="97">
        <f>+[2]BS17A!$V1197</f>
        <v>3123660</v>
      </c>
      <c r="F175" s="21"/>
    </row>
    <row r="176" spans="1:6" ht="24.75" customHeight="1" x14ac:dyDescent="0.2">
      <c r="A176" s="202" t="s">
        <v>250</v>
      </c>
      <c r="B176" s="11" t="s">
        <v>251</v>
      </c>
      <c r="C176" s="132">
        <f>+[2]BS17A!$D1198</f>
        <v>7</v>
      </c>
      <c r="D176" s="26">
        <f>+[2]BS17A!$U1198</f>
        <v>13370</v>
      </c>
      <c r="E176" s="97">
        <f>+[2]BS17A!$V1198</f>
        <v>93590</v>
      </c>
      <c r="F176" s="21"/>
    </row>
    <row r="177" spans="1:6" ht="24.75" customHeight="1" x14ac:dyDescent="0.2">
      <c r="A177" s="202" t="s">
        <v>252</v>
      </c>
      <c r="B177" s="11" t="s">
        <v>253</v>
      </c>
      <c r="C177" s="132">
        <f>+[2]BS17A!$D1199</f>
        <v>14</v>
      </c>
      <c r="D177" s="26">
        <f>+[2]BS17A!$U1199</f>
        <v>22670</v>
      </c>
      <c r="E177" s="97">
        <f>+[2]BS17A!$V1199</f>
        <v>317380</v>
      </c>
      <c r="F177" s="21"/>
    </row>
    <row r="178" spans="1:6" ht="12.75" customHeight="1" x14ac:dyDescent="0.2">
      <c r="A178" s="202" t="s">
        <v>254</v>
      </c>
      <c r="B178" s="11" t="s">
        <v>255</v>
      </c>
      <c r="C178" s="132">
        <f>+[2]BS17A!$D1200</f>
        <v>0</v>
      </c>
      <c r="D178" s="26">
        <f>+[2]BS17A!$U1200</f>
        <v>43280</v>
      </c>
      <c r="E178" s="97">
        <f>+[2]BS17A!$V1200</f>
        <v>0</v>
      </c>
      <c r="F178" s="21"/>
    </row>
    <row r="179" spans="1:6" ht="12.75" customHeight="1" x14ac:dyDescent="0.2">
      <c r="A179" s="202" t="s">
        <v>256</v>
      </c>
      <c r="B179" s="11" t="s">
        <v>257</v>
      </c>
      <c r="C179" s="132">
        <f>+[2]BS17A!$D1201</f>
        <v>41</v>
      </c>
      <c r="D179" s="26">
        <f>+[2]BS17A!$U1201</f>
        <v>48240</v>
      </c>
      <c r="E179" s="97">
        <f>+[2]BS17A!$V1201</f>
        <v>1977840</v>
      </c>
      <c r="F179" s="21"/>
    </row>
    <row r="180" spans="1:6" ht="24.75" customHeight="1" x14ac:dyDescent="0.2">
      <c r="A180" s="202" t="s">
        <v>258</v>
      </c>
      <c r="B180" s="11" t="s">
        <v>259</v>
      </c>
      <c r="C180" s="132">
        <f>+[2]BS17A!$D1202</f>
        <v>0</v>
      </c>
      <c r="D180" s="26">
        <f>+[2]BS17A!$U1202</f>
        <v>27060</v>
      </c>
      <c r="E180" s="97">
        <f>+[2]BS17A!$V1202</f>
        <v>0</v>
      </c>
      <c r="F180" s="21"/>
    </row>
    <row r="181" spans="1:6" ht="12.75" customHeight="1" x14ac:dyDescent="0.2">
      <c r="A181" s="202" t="s">
        <v>260</v>
      </c>
      <c r="B181" s="12" t="s">
        <v>261</v>
      </c>
      <c r="C181" s="132">
        <f>+[2]BS17A!$D1203</f>
        <v>0</v>
      </c>
      <c r="D181" s="26">
        <f>+[2]BS17A!$U1203</f>
        <v>209350</v>
      </c>
      <c r="E181" s="97">
        <f>+[2]BS17A!$V1203</f>
        <v>0</v>
      </c>
      <c r="F181" s="21"/>
    </row>
    <row r="182" spans="1:6" ht="12.75" customHeight="1" x14ac:dyDescent="0.2">
      <c r="A182" s="202" t="s">
        <v>262</v>
      </c>
      <c r="B182" s="11" t="s">
        <v>263</v>
      </c>
      <c r="C182" s="132">
        <f>+[2]BS17A!$D1204</f>
        <v>0</v>
      </c>
      <c r="D182" s="26">
        <f>+[2]BS17A!$U1204</f>
        <v>238000</v>
      </c>
      <c r="E182" s="97">
        <f>+[2]BS17A!$V1204</f>
        <v>0</v>
      </c>
      <c r="F182" s="21"/>
    </row>
    <row r="183" spans="1:6" ht="12.75" customHeight="1" x14ac:dyDescent="0.2">
      <c r="A183" s="202" t="s">
        <v>264</v>
      </c>
      <c r="B183" s="11" t="s">
        <v>265</v>
      </c>
      <c r="C183" s="132">
        <f>+[2]BS17A!$D1205</f>
        <v>0</v>
      </c>
      <c r="D183" s="26">
        <f>+[2]BS17A!$U1205</f>
        <v>194080</v>
      </c>
      <c r="E183" s="97">
        <f>+[2]BS17A!$V1205</f>
        <v>0</v>
      </c>
      <c r="F183" s="21"/>
    </row>
    <row r="184" spans="1:6" ht="24.75" customHeight="1" x14ac:dyDescent="0.2">
      <c r="A184" s="202" t="s">
        <v>266</v>
      </c>
      <c r="B184" s="12" t="s">
        <v>267</v>
      </c>
      <c r="C184" s="132">
        <f>+[2]BS17A!$D1206</f>
        <v>0</v>
      </c>
      <c r="D184" s="26">
        <f>+[2]BS17A!$U1206</f>
        <v>249290</v>
      </c>
      <c r="E184" s="97">
        <f>+[2]BS17A!$V1206</f>
        <v>0</v>
      </c>
      <c r="F184" s="21"/>
    </row>
    <row r="185" spans="1:6" ht="24.75" customHeight="1" x14ac:dyDescent="0.2">
      <c r="A185" s="202" t="s">
        <v>268</v>
      </c>
      <c r="B185" s="12" t="s">
        <v>269</v>
      </c>
      <c r="C185" s="132">
        <f>+[2]BS17A!$D1207</f>
        <v>0</v>
      </c>
      <c r="D185" s="26">
        <f>+[2]BS17A!$U1207</f>
        <v>255080</v>
      </c>
      <c r="E185" s="97">
        <f>+[2]BS17A!$V1207</f>
        <v>0</v>
      </c>
      <c r="F185" s="21"/>
    </row>
    <row r="186" spans="1:6" ht="24.75" customHeight="1" x14ac:dyDescent="0.2">
      <c r="A186" s="202" t="s">
        <v>270</v>
      </c>
      <c r="B186" s="12" t="s">
        <v>271</v>
      </c>
      <c r="C186" s="132">
        <f>+[2]BS17A!$D1208</f>
        <v>0</v>
      </c>
      <c r="D186" s="26">
        <f>+[2]BS17A!$U1208</f>
        <v>215710</v>
      </c>
      <c r="E186" s="97">
        <f>+[2]BS17A!$V1208</f>
        <v>0</v>
      </c>
      <c r="F186" s="21"/>
    </row>
    <row r="187" spans="1:6" ht="12.75" customHeight="1" x14ac:dyDescent="0.2">
      <c r="A187" s="202" t="s">
        <v>272</v>
      </c>
      <c r="B187" s="12" t="s">
        <v>273</v>
      </c>
      <c r="C187" s="132">
        <f>+[2]BS17A!$D1209</f>
        <v>0</v>
      </c>
      <c r="D187" s="26">
        <f>+[2]BS17A!$U1209</f>
        <v>230250</v>
      </c>
      <c r="E187" s="97">
        <f>+[2]BS17A!$V1209</f>
        <v>0</v>
      </c>
      <c r="F187" s="21"/>
    </row>
    <row r="188" spans="1:6" ht="12.75" customHeight="1" x14ac:dyDescent="0.2">
      <c r="A188" s="202" t="s">
        <v>274</v>
      </c>
      <c r="B188" s="12" t="s">
        <v>275</v>
      </c>
      <c r="C188" s="132">
        <f>+[2]BS17A!$D1210</f>
        <v>0</v>
      </c>
      <c r="D188" s="26">
        <f>+[2]BS17A!$U1210</f>
        <v>275320</v>
      </c>
      <c r="E188" s="97">
        <f>+[2]BS17A!$V1210</f>
        <v>0</v>
      </c>
      <c r="F188" s="21"/>
    </row>
    <row r="189" spans="1:6" ht="24.75" customHeight="1" x14ac:dyDescent="0.2">
      <c r="A189" s="202" t="s">
        <v>276</v>
      </c>
      <c r="B189" s="11" t="s">
        <v>277</v>
      </c>
      <c r="C189" s="132">
        <f>+[2]BS17A!$D1211</f>
        <v>0</v>
      </c>
      <c r="D189" s="26">
        <f>+[2]BS17A!$U1211</f>
        <v>244150</v>
      </c>
      <c r="E189" s="97">
        <f>+[2]BS17A!$V1211</f>
        <v>0</v>
      </c>
      <c r="F189" s="21"/>
    </row>
    <row r="190" spans="1:6" ht="24.75" customHeight="1" x14ac:dyDescent="0.2">
      <c r="A190" s="202" t="s">
        <v>278</v>
      </c>
      <c r="B190" s="12" t="s">
        <v>279</v>
      </c>
      <c r="C190" s="132">
        <f>+[2]BS17A!$D1212</f>
        <v>0</v>
      </c>
      <c r="D190" s="26">
        <f>+[2]BS17A!$U1212</f>
        <v>1786710</v>
      </c>
      <c r="E190" s="97">
        <f>+[2]BS17A!$V1212</f>
        <v>0</v>
      </c>
      <c r="F190" s="21"/>
    </row>
    <row r="191" spans="1:6" ht="12.75" customHeight="1" x14ac:dyDescent="0.2">
      <c r="A191" s="202" t="s">
        <v>280</v>
      </c>
      <c r="B191" s="12" t="s">
        <v>281</v>
      </c>
      <c r="C191" s="132">
        <f>+[2]BS17A!$D1213</f>
        <v>0</v>
      </c>
      <c r="D191" s="26">
        <f>+[2]BS17A!$U1213</f>
        <v>1115980</v>
      </c>
      <c r="E191" s="97">
        <f>+[2]BS17A!$V1213</f>
        <v>0</v>
      </c>
      <c r="F191" s="21"/>
    </row>
    <row r="192" spans="1:6" ht="12.75" customHeight="1" x14ac:dyDescent="0.2">
      <c r="A192" s="180" t="s">
        <v>282</v>
      </c>
      <c r="B192" s="12" t="s">
        <v>283</v>
      </c>
      <c r="C192" s="132">
        <f>+[2]BS17A!$D1214</f>
        <v>0</v>
      </c>
      <c r="D192" s="26">
        <f>+[2]BS17A!$U1214</f>
        <v>1080140</v>
      </c>
      <c r="E192" s="97">
        <f>+[2]BS17A!$V1214</f>
        <v>0</v>
      </c>
      <c r="F192" s="21"/>
    </row>
    <row r="193" spans="1:6" ht="24.75" customHeight="1" x14ac:dyDescent="0.2">
      <c r="A193" s="202" t="s">
        <v>284</v>
      </c>
      <c r="B193" s="12" t="s">
        <v>285</v>
      </c>
      <c r="C193" s="132">
        <f>+[2]BS17A!$D1215</f>
        <v>0</v>
      </c>
      <c r="D193" s="26">
        <f>+[2]BS17A!$U1215</f>
        <v>1131580</v>
      </c>
      <c r="E193" s="97">
        <f>+[2]BS17A!$V1215</f>
        <v>0</v>
      </c>
      <c r="F193" s="21"/>
    </row>
    <row r="194" spans="1:6" ht="12.75" customHeight="1" x14ac:dyDescent="0.2">
      <c r="A194" s="180" t="s">
        <v>286</v>
      </c>
      <c r="B194" s="12" t="s">
        <v>287</v>
      </c>
      <c r="C194" s="132">
        <f>+[2]BS17A!$D1216</f>
        <v>0</v>
      </c>
      <c r="D194" s="26">
        <f>+[2]BS17A!$U1216</f>
        <v>160130</v>
      </c>
      <c r="E194" s="97">
        <f>+[2]BS17A!$V1216</f>
        <v>0</v>
      </c>
      <c r="F194" s="21"/>
    </row>
    <row r="195" spans="1:6" ht="12.75" customHeight="1" x14ac:dyDescent="0.2">
      <c r="A195" s="180" t="s">
        <v>288</v>
      </c>
      <c r="B195" s="12" t="s">
        <v>289</v>
      </c>
      <c r="C195" s="132">
        <f>+[2]BS17A!$D1217</f>
        <v>0</v>
      </c>
      <c r="D195" s="26">
        <f>+[2]BS17A!$U1217</f>
        <v>365410</v>
      </c>
      <c r="E195" s="97">
        <f>+[2]BS17A!$V1217</f>
        <v>0</v>
      </c>
      <c r="F195" s="21"/>
    </row>
    <row r="196" spans="1:6" ht="12.75" customHeight="1" x14ac:dyDescent="0.2">
      <c r="A196" s="202" t="s">
        <v>290</v>
      </c>
      <c r="B196" s="12" t="s">
        <v>291</v>
      </c>
      <c r="C196" s="132">
        <f>+[2]BS17A!$D1218</f>
        <v>0</v>
      </c>
      <c r="D196" s="26">
        <f>+[2]BS17A!$U1218</f>
        <v>135470</v>
      </c>
      <c r="E196" s="97">
        <f>+[2]BS17A!$V1218</f>
        <v>0</v>
      </c>
      <c r="F196" s="21"/>
    </row>
    <row r="197" spans="1:6" ht="12.75" customHeight="1" x14ac:dyDescent="0.2">
      <c r="A197" s="202" t="s">
        <v>292</v>
      </c>
      <c r="B197" s="12" t="s">
        <v>293</v>
      </c>
      <c r="C197" s="132">
        <f>+[2]BS17A!$D1219</f>
        <v>0</v>
      </c>
      <c r="D197" s="26">
        <f>+[2]BS17A!$U1219</f>
        <v>1097590</v>
      </c>
      <c r="E197" s="97">
        <f>+[2]BS17A!$V1219</f>
        <v>0</v>
      </c>
      <c r="F197" s="21"/>
    </row>
    <row r="198" spans="1:6" ht="12.75" customHeight="1" x14ac:dyDescent="0.2">
      <c r="A198" s="202" t="s">
        <v>294</v>
      </c>
      <c r="B198" s="12" t="s">
        <v>295</v>
      </c>
      <c r="C198" s="132">
        <f>+[2]BS17A!$D1220</f>
        <v>0</v>
      </c>
      <c r="D198" s="26">
        <f>+[2]BS17A!$U1220</f>
        <v>1097590</v>
      </c>
      <c r="E198" s="97">
        <f>+[2]BS17A!$V1220</f>
        <v>0</v>
      </c>
      <c r="F198" s="21"/>
    </row>
    <row r="199" spans="1:6" ht="12.75" customHeight="1" x14ac:dyDescent="0.2">
      <c r="A199" s="202">
        <v>1801001</v>
      </c>
      <c r="B199" s="10" t="s">
        <v>296</v>
      </c>
      <c r="C199" s="132">
        <f>+[2]BS17A!$D1354</f>
        <v>50</v>
      </c>
      <c r="D199" s="26">
        <f>+[2]BS17A!$U1354</f>
        <v>32740</v>
      </c>
      <c r="E199" s="97">
        <f>+[2]BS17A!$V1354</f>
        <v>1637000</v>
      </c>
      <c r="F199" s="21"/>
    </row>
    <row r="200" spans="1:6" ht="12.75" customHeight="1" x14ac:dyDescent="0.2">
      <c r="A200" s="202">
        <v>1801003</v>
      </c>
      <c r="B200" s="12" t="s">
        <v>297</v>
      </c>
      <c r="C200" s="132">
        <f>+[2]BS17A!$D1355</f>
        <v>0</v>
      </c>
      <c r="D200" s="26">
        <f>+[2]BS17A!$U1355</f>
        <v>39490</v>
      </c>
      <c r="E200" s="97">
        <f>+[2]BS17A!$V1355</f>
        <v>0</v>
      </c>
      <c r="F200" s="21"/>
    </row>
    <row r="201" spans="1:6" ht="12.75" customHeight="1" x14ac:dyDescent="0.2">
      <c r="A201" s="202">
        <v>1801006</v>
      </c>
      <c r="B201" s="10" t="s">
        <v>298</v>
      </c>
      <c r="C201" s="132">
        <f>+[2]BS17A!$D1356</f>
        <v>5</v>
      </c>
      <c r="D201" s="26">
        <f>+[2]BS17A!$U1356</f>
        <v>42060</v>
      </c>
      <c r="E201" s="97">
        <f>+[2]BS17A!$V1356</f>
        <v>210300</v>
      </c>
      <c r="F201" s="21"/>
    </row>
    <row r="202" spans="1:6" ht="24.75" customHeight="1" x14ac:dyDescent="0.2">
      <c r="A202" s="202" t="s">
        <v>299</v>
      </c>
      <c r="B202" s="10" t="s">
        <v>300</v>
      </c>
      <c r="C202" s="132">
        <f>[2]BS17A!D1036</f>
        <v>0</v>
      </c>
      <c r="D202" s="26">
        <f>[2]BS17A!U1036</f>
        <v>8850</v>
      </c>
      <c r="E202" s="97">
        <f>[2]BS17A!V1036</f>
        <v>0</v>
      </c>
      <c r="F202" s="21"/>
    </row>
    <row r="203" spans="1:6" ht="24.75" customHeight="1" x14ac:dyDescent="0.2">
      <c r="A203" s="204" t="s">
        <v>301</v>
      </c>
      <c r="B203" s="13" t="s">
        <v>302</v>
      </c>
      <c r="C203" s="163">
        <f>[2]BS17A!D807</f>
        <v>0</v>
      </c>
      <c r="D203" s="107">
        <f>[2]BS17A!U807</f>
        <v>375680</v>
      </c>
      <c r="E203" s="108">
        <f>[2]BS17A!V807</f>
        <v>0</v>
      </c>
      <c r="F203" s="21"/>
    </row>
    <row r="204" spans="1:6" ht="17.25" customHeight="1" x14ac:dyDescent="0.2">
      <c r="A204" s="187"/>
      <c r="B204" s="186" t="s">
        <v>303</v>
      </c>
      <c r="C204" s="35">
        <f>SUM(C173:C203)</f>
        <v>793</v>
      </c>
      <c r="D204" s="100"/>
      <c r="E204" s="101">
        <f>SUM(E173:E203)</f>
        <v>7547960</v>
      </c>
      <c r="F204" s="21"/>
    </row>
    <row r="205" spans="1:6" ht="21.75" customHeight="1" x14ac:dyDescent="0.2">
      <c r="A205" s="21"/>
      <c r="B205" s="21"/>
      <c r="C205" s="21"/>
      <c r="D205" s="21"/>
      <c r="E205" s="21"/>
      <c r="F205" s="21"/>
    </row>
    <row r="206" spans="1:6" ht="19.5" customHeight="1" x14ac:dyDescent="0.2">
      <c r="A206" s="21"/>
      <c r="B206" s="21"/>
      <c r="C206" s="21"/>
      <c r="D206" s="21"/>
      <c r="E206" s="21"/>
      <c r="F206" s="21"/>
    </row>
    <row r="207" spans="1:6" ht="18" customHeight="1" x14ac:dyDescent="0.2">
      <c r="A207" s="549" t="s">
        <v>304</v>
      </c>
      <c r="B207" s="550"/>
      <c r="C207" s="550"/>
      <c r="D207" s="550"/>
      <c r="E207" s="551"/>
      <c r="F207" s="18"/>
    </row>
    <row r="208" spans="1:6" ht="39.75" customHeight="1" x14ac:dyDescent="0.2">
      <c r="A208" s="1" t="s">
        <v>8</v>
      </c>
      <c r="B208" s="1" t="s">
        <v>9</v>
      </c>
      <c r="C208" s="235" t="s">
        <v>10</v>
      </c>
      <c r="D208" s="3" t="s">
        <v>11</v>
      </c>
      <c r="E208" s="237" t="s">
        <v>12</v>
      </c>
      <c r="F208" s="18"/>
    </row>
    <row r="209" spans="1:6" ht="12.75" customHeight="1" x14ac:dyDescent="0.2">
      <c r="A209" s="179" t="s">
        <v>305</v>
      </c>
      <c r="B209" s="196" t="s">
        <v>306</v>
      </c>
      <c r="C209" s="135">
        <f>+[2]BS17A!$D18</f>
        <v>0</v>
      </c>
      <c r="D209" s="31">
        <f>+[2]BS17A!$U18</f>
        <v>13700</v>
      </c>
      <c r="E209" s="96">
        <f>+[2]BS17A!$V18</f>
        <v>0</v>
      </c>
      <c r="F209" s="21"/>
    </row>
    <row r="210" spans="1:6" ht="12.75" customHeight="1" x14ac:dyDescent="0.2">
      <c r="A210" s="180" t="s">
        <v>307</v>
      </c>
      <c r="B210" s="177" t="s">
        <v>308</v>
      </c>
      <c r="C210" s="132">
        <f>+[2]BS17A!$D19</f>
        <v>48</v>
      </c>
      <c r="D210" s="26">
        <f>+[2]BS17A!$U19</f>
        <v>13700</v>
      </c>
      <c r="E210" s="97">
        <f>+[2]BS17A!$V19</f>
        <v>657600</v>
      </c>
      <c r="F210" s="21"/>
    </row>
    <row r="211" spans="1:6" ht="12.75" customHeight="1" x14ac:dyDescent="0.2">
      <c r="A211" s="180" t="s">
        <v>309</v>
      </c>
      <c r="B211" s="176" t="s">
        <v>310</v>
      </c>
      <c r="C211" s="132">
        <f>+[2]BS17A!$D47</f>
        <v>0</v>
      </c>
      <c r="D211" s="26">
        <f>+[2]BS17A!$U47</f>
        <v>1310</v>
      </c>
      <c r="E211" s="97">
        <f>+[2]BS17A!$V47</f>
        <v>0</v>
      </c>
      <c r="F211" s="21"/>
    </row>
    <row r="212" spans="1:6" ht="12.75" customHeight="1" x14ac:dyDescent="0.2">
      <c r="A212" s="180" t="s">
        <v>311</v>
      </c>
      <c r="B212" s="176" t="s">
        <v>312</v>
      </c>
      <c r="C212" s="132">
        <f>+[2]BS17A!$D48</f>
        <v>558</v>
      </c>
      <c r="D212" s="26">
        <f>+[2]BS17A!$U48</f>
        <v>640</v>
      </c>
      <c r="E212" s="97">
        <f>+[2]BS17A!$V48</f>
        <v>357120</v>
      </c>
      <c r="F212" s="21"/>
    </row>
    <row r="213" spans="1:6" ht="12.75" customHeight="1" x14ac:dyDescent="0.2">
      <c r="A213" s="180" t="s">
        <v>313</v>
      </c>
      <c r="B213" s="177" t="s">
        <v>314</v>
      </c>
      <c r="C213" s="132">
        <f>+[2]BS17A!$D49</f>
        <v>306</v>
      </c>
      <c r="D213" s="26">
        <f>+[2]BS17A!$U49</f>
        <v>1940</v>
      </c>
      <c r="E213" s="97">
        <f>+[2]BS17A!$V49</f>
        <v>593640</v>
      </c>
      <c r="F213" s="21"/>
    </row>
    <row r="214" spans="1:6" ht="12.75" customHeight="1" x14ac:dyDescent="0.2">
      <c r="A214" s="180" t="s">
        <v>315</v>
      </c>
      <c r="B214" s="177" t="s">
        <v>316</v>
      </c>
      <c r="C214" s="132">
        <f>+[2]BS17A!$D50</f>
        <v>54</v>
      </c>
      <c r="D214" s="26">
        <f>+[2]BS17A!$U50</f>
        <v>14590</v>
      </c>
      <c r="E214" s="97">
        <f>+[2]BS17A!$V50</f>
        <v>787860</v>
      </c>
      <c r="F214" s="21"/>
    </row>
    <row r="215" spans="1:6" ht="12.75" customHeight="1" x14ac:dyDescent="0.2">
      <c r="A215" s="180" t="s">
        <v>317</v>
      </c>
      <c r="B215" s="176" t="s">
        <v>318</v>
      </c>
      <c r="C215" s="132">
        <f>+[2]BS17A!$D51</f>
        <v>92</v>
      </c>
      <c r="D215" s="26">
        <f>+[2]BS17A!$U51</f>
        <v>33500</v>
      </c>
      <c r="E215" s="97">
        <f>+[2]BS17A!$V51</f>
        <v>3082000</v>
      </c>
      <c r="F215" s="21"/>
    </row>
    <row r="216" spans="1:6" ht="12.75" customHeight="1" x14ac:dyDescent="0.2">
      <c r="A216" s="202" t="s">
        <v>319</v>
      </c>
      <c r="B216" s="176" t="s">
        <v>320</v>
      </c>
      <c r="C216" s="132">
        <f>+[2]BS17A!D52</f>
        <v>14</v>
      </c>
      <c r="D216" s="109"/>
      <c r="E216" s="97">
        <f>+[2]BS17A!V52</f>
        <v>117040</v>
      </c>
      <c r="F216" s="21"/>
    </row>
    <row r="217" spans="1:6" ht="12.75" customHeight="1" x14ac:dyDescent="0.2">
      <c r="A217" s="181" t="s">
        <v>321</v>
      </c>
      <c r="B217" s="178" t="s">
        <v>322</v>
      </c>
      <c r="C217" s="142">
        <f>+[2]BS17A!$D1861</f>
        <v>22</v>
      </c>
      <c r="D217" s="33">
        <f>+[2]BS17A!$U1861</f>
        <v>27160</v>
      </c>
      <c r="E217" s="102">
        <f>+[2]BS17A!$V1861</f>
        <v>597520</v>
      </c>
      <c r="F217" s="21"/>
    </row>
    <row r="218" spans="1:6" ht="12.75" x14ac:dyDescent="0.2">
      <c r="A218" s="187"/>
      <c r="B218" s="186" t="s">
        <v>323</v>
      </c>
      <c r="C218" s="35">
        <f>SUM(C209:C217)</f>
        <v>1094</v>
      </c>
      <c r="D218" s="100"/>
      <c r="E218" s="108">
        <f>SUM(E209:E217)</f>
        <v>6192780</v>
      </c>
      <c r="F218" s="21"/>
    </row>
    <row r="219" spans="1:6" ht="17.25" customHeight="1" x14ac:dyDescent="0.2">
      <c r="A219" s="21"/>
      <c r="B219" s="21"/>
      <c r="C219" s="21"/>
      <c r="D219" s="21"/>
      <c r="E219" s="21"/>
      <c r="F219" s="21"/>
    </row>
    <row r="220" spans="1:6" ht="18" customHeight="1" x14ac:dyDescent="0.2">
      <c r="A220" s="21"/>
      <c r="B220" s="21"/>
      <c r="C220" s="21"/>
      <c r="D220" s="21"/>
      <c r="E220" s="21"/>
      <c r="F220" s="21"/>
    </row>
    <row r="221" spans="1:6" ht="27.75" customHeight="1" x14ac:dyDescent="0.2">
      <c r="A221" s="563" t="s">
        <v>324</v>
      </c>
      <c r="B221" s="564"/>
      <c r="C221" s="565"/>
      <c r="D221" s="21"/>
      <c r="E221" s="21"/>
      <c r="F221" s="18"/>
    </row>
    <row r="222" spans="1:6" ht="42.75" customHeight="1" x14ac:dyDescent="0.2">
      <c r="A222" s="1" t="s">
        <v>8</v>
      </c>
      <c r="B222" s="1" t="s">
        <v>10</v>
      </c>
      <c r="C222" s="1" t="s">
        <v>12</v>
      </c>
      <c r="D222" s="18"/>
      <c r="E222" s="21"/>
      <c r="F222" s="21"/>
    </row>
    <row r="223" spans="1:6" ht="15" customHeight="1" x14ac:dyDescent="0.2">
      <c r="A223" s="179" t="s">
        <v>325</v>
      </c>
      <c r="B223" s="197" t="s">
        <v>326</v>
      </c>
      <c r="C223" s="110"/>
      <c r="D223" s="111"/>
      <c r="E223" s="21"/>
      <c r="F223" s="21"/>
    </row>
    <row r="224" spans="1:6" ht="15" customHeight="1" x14ac:dyDescent="0.2">
      <c r="A224" s="200" t="s">
        <v>327</v>
      </c>
      <c r="B224" s="198" t="s">
        <v>328</v>
      </c>
      <c r="C224" s="112"/>
      <c r="D224" s="111"/>
      <c r="E224" s="21"/>
      <c r="F224" s="21"/>
    </row>
    <row r="225" spans="1:7" ht="18" customHeight="1" x14ac:dyDescent="0.2">
      <c r="A225" s="201"/>
      <c r="B225" s="199" t="s">
        <v>329</v>
      </c>
      <c r="C225" s="162">
        <f>SUM(C223:C224)</f>
        <v>0</v>
      </c>
      <c r="D225" s="111"/>
      <c r="E225" s="21"/>
      <c r="F225" s="21"/>
    </row>
    <row r="226" spans="1:7" ht="18" customHeight="1" x14ac:dyDescent="0.2">
      <c r="A226" s="21"/>
      <c r="B226" s="21"/>
      <c r="C226" s="21"/>
      <c r="D226" s="111"/>
      <c r="E226" s="111"/>
      <c r="F226" s="111"/>
    </row>
    <row r="227" spans="1:7" ht="18" customHeight="1" x14ac:dyDescent="0.2">
      <c r="A227" s="21"/>
      <c r="B227" s="21"/>
      <c r="C227" s="21"/>
      <c r="D227" s="21"/>
      <c r="E227" s="21"/>
      <c r="F227" s="111"/>
      <c r="G227" s="113"/>
    </row>
    <row r="228" spans="1:7" ht="18" customHeight="1" x14ac:dyDescent="0.2">
      <c r="A228" s="549" t="s">
        <v>330</v>
      </c>
      <c r="B228" s="550"/>
      <c r="C228" s="550"/>
      <c r="D228" s="550"/>
      <c r="E228" s="551"/>
      <c r="F228" s="111"/>
      <c r="G228" s="113"/>
    </row>
    <row r="229" spans="1:7" ht="56.25" customHeight="1" x14ac:dyDescent="0.2">
      <c r="A229" s="1" t="s">
        <v>8</v>
      </c>
      <c r="B229" s="1" t="s">
        <v>9</v>
      </c>
      <c r="C229" s="235" t="s">
        <v>10</v>
      </c>
      <c r="D229" s="3" t="s">
        <v>11</v>
      </c>
      <c r="E229" s="237" t="s">
        <v>12</v>
      </c>
      <c r="F229" s="111"/>
      <c r="G229" s="113"/>
    </row>
    <row r="230" spans="1:7" ht="15" customHeight="1" x14ac:dyDescent="0.2">
      <c r="A230" s="179" t="s">
        <v>331</v>
      </c>
      <c r="B230" s="196" t="s">
        <v>332</v>
      </c>
      <c r="C230" s="160">
        <f>+[2]BS17A!$D1941</f>
        <v>652</v>
      </c>
      <c r="D230" s="31">
        <f>+[2]BS17A!$U1941</f>
        <v>18750</v>
      </c>
      <c r="E230" s="96">
        <f>+[2]BS17A!$V1941</f>
        <v>12225000</v>
      </c>
      <c r="F230" s="21"/>
    </row>
    <row r="231" spans="1:7" ht="15" customHeight="1" x14ac:dyDescent="0.2">
      <c r="A231" s="181" t="s">
        <v>333</v>
      </c>
      <c r="B231" s="178" t="s">
        <v>334</v>
      </c>
      <c r="C231" s="161">
        <f>+[2]BS17A!$D1942</f>
        <v>0</v>
      </c>
      <c r="D231" s="33">
        <f>+[2]BS17A!$U1942</f>
        <v>235010</v>
      </c>
      <c r="E231" s="102">
        <f>+[2]BS17A!$V1942</f>
        <v>0</v>
      </c>
      <c r="F231" s="21"/>
    </row>
    <row r="232" spans="1:7" ht="18" customHeight="1" x14ac:dyDescent="0.2">
      <c r="A232" s="187"/>
      <c r="B232" s="186" t="s">
        <v>335</v>
      </c>
      <c r="C232" s="35">
        <f>SUM(C230:C231)</f>
        <v>652</v>
      </c>
      <c r="D232" s="100"/>
      <c r="E232" s="101">
        <f>SUM(E230:E231)</f>
        <v>12225000</v>
      </c>
      <c r="F232" s="21"/>
    </row>
    <row r="233" spans="1:7" ht="18" customHeight="1" x14ac:dyDescent="0.2">
      <c r="A233" s="114"/>
      <c r="B233" s="115"/>
      <c r="C233" s="116"/>
      <c r="D233" s="114"/>
      <c r="E233" s="114"/>
      <c r="F233" s="21"/>
    </row>
    <row r="234" spans="1:7" ht="18" customHeight="1" x14ac:dyDescent="0.2">
      <c r="A234" s="114"/>
      <c r="B234" s="115"/>
      <c r="C234" s="116"/>
      <c r="D234" s="114"/>
      <c r="E234" s="114"/>
      <c r="F234" s="21"/>
    </row>
    <row r="235" spans="1:7" ht="18" customHeight="1" x14ac:dyDescent="0.2">
      <c r="A235" s="557" t="s">
        <v>336</v>
      </c>
      <c r="B235" s="550"/>
      <c r="C235" s="550"/>
      <c r="D235" s="550"/>
      <c r="E235" s="551"/>
      <c r="F235" s="21"/>
    </row>
    <row r="236" spans="1:7" ht="41.25" customHeight="1" x14ac:dyDescent="0.2">
      <c r="A236" s="1" t="s">
        <v>8</v>
      </c>
      <c r="B236" s="1" t="s">
        <v>9</v>
      </c>
      <c r="C236" s="235" t="s">
        <v>10</v>
      </c>
      <c r="D236" s="3" t="s">
        <v>11</v>
      </c>
      <c r="E236" s="237" t="s">
        <v>12</v>
      </c>
      <c r="F236" s="21"/>
    </row>
    <row r="237" spans="1:7" ht="18" customHeight="1" x14ac:dyDescent="0.2">
      <c r="A237" s="93" t="s">
        <v>337</v>
      </c>
      <c r="B237" s="43" t="s">
        <v>338</v>
      </c>
      <c r="C237" s="117">
        <f>[2]BS17A!D768</f>
        <v>623</v>
      </c>
      <c r="D237" s="118"/>
      <c r="E237" s="119">
        <f>[2]BS17A!V768</f>
        <v>4264730</v>
      </c>
      <c r="F237" s="21"/>
    </row>
    <row r="238" spans="1:7" ht="18" customHeight="1" x14ac:dyDescent="0.2">
      <c r="A238" s="114"/>
      <c r="B238" s="115"/>
      <c r="C238" s="116"/>
      <c r="D238" s="114"/>
      <c r="E238" s="114"/>
      <c r="F238" s="21"/>
    </row>
    <row r="239" spans="1:7" ht="18" customHeight="1" x14ac:dyDescent="0.2">
      <c r="A239" s="557" t="s">
        <v>339</v>
      </c>
      <c r="B239" s="558"/>
      <c r="C239" s="558"/>
      <c r="D239" s="558"/>
      <c r="E239" s="559"/>
      <c r="F239" s="21"/>
    </row>
    <row r="240" spans="1:7" ht="43.5" customHeight="1" x14ac:dyDescent="0.2">
      <c r="A240" s="1" t="s">
        <v>8</v>
      </c>
      <c r="B240" s="235" t="s">
        <v>340</v>
      </c>
      <c r="C240" s="2" t="s">
        <v>341</v>
      </c>
      <c r="D240" s="3" t="s">
        <v>11</v>
      </c>
      <c r="E240" s="237" t="s">
        <v>12</v>
      </c>
      <c r="F240" s="21"/>
    </row>
    <row r="241" spans="1:6" ht="15" customHeight="1" x14ac:dyDescent="0.2">
      <c r="A241" s="30" t="s">
        <v>342</v>
      </c>
      <c r="B241" s="144" t="s">
        <v>343</v>
      </c>
      <c r="C241" s="135">
        <f>+[2]BS17A!$D1944</f>
        <v>0</v>
      </c>
      <c r="D241" s="31">
        <f>+[2]BS17A!$U1944</f>
        <v>240030</v>
      </c>
      <c r="E241" s="96">
        <f>+[2]BS17A!$V1944</f>
        <v>0</v>
      </c>
      <c r="F241" s="21"/>
    </row>
    <row r="242" spans="1:6" ht="15" customHeight="1" x14ac:dyDescent="0.2">
      <c r="A242" s="25" t="s">
        <v>344</v>
      </c>
      <c r="B242" s="145" t="s">
        <v>345</v>
      </c>
      <c r="C242" s="132">
        <f>+[2]BS17A!$D1945</f>
        <v>0</v>
      </c>
      <c r="D242" s="26">
        <f>+[2]BS17A!$U1945</f>
        <v>34110</v>
      </c>
      <c r="E242" s="97">
        <f>+[2]BS17A!$V1945</f>
        <v>0</v>
      </c>
      <c r="F242" s="21"/>
    </row>
    <row r="243" spans="1:6" ht="15" customHeight="1" x14ac:dyDescent="0.2">
      <c r="A243" s="25" t="s">
        <v>346</v>
      </c>
      <c r="B243" s="145" t="s">
        <v>347</v>
      </c>
      <c r="C243" s="132">
        <f>+[2]BS17A!$D1946</f>
        <v>0</v>
      </c>
      <c r="D243" s="26">
        <f>+[2]BS17A!$U1946</f>
        <v>128660</v>
      </c>
      <c r="E243" s="97">
        <f>+[2]BS17A!$V1946</f>
        <v>0</v>
      </c>
      <c r="F243" s="21"/>
    </row>
    <row r="244" spans="1:6" ht="15" customHeight="1" x14ac:dyDescent="0.2">
      <c r="A244" s="25" t="s">
        <v>348</v>
      </c>
      <c r="B244" s="145" t="s">
        <v>349</v>
      </c>
      <c r="C244" s="132">
        <f>+[2]BS17A!$D1947</f>
        <v>0</v>
      </c>
      <c r="D244" s="26">
        <f>+[2]BS17A!$U1947</f>
        <v>128660</v>
      </c>
      <c r="E244" s="97">
        <f>+[2]BS17A!$V1947</f>
        <v>0</v>
      </c>
      <c r="F244" s="21"/>
    </row>
    <row r="245" spans="1:6" ht="15" customHeight="1" x14ac:dyDescent="0.2">
      <c r="A245" s="25" t="s">
        <v>350</v>
      </c>
      <c r="B245" s="145" t="s">
        <v>351</v>
      </c>
      <c r="C245" s="132">
        <f>+[2]BS17A!$D1948</f>
        <v>0</v>
      </c>
      <c r="D245" s="26">
        <f>+[2]BS17A!$U1948</f>
        <v>234230</v>
      </c>
      <c r="E245" s="97">
        <f>+[2]BS17A!$V1948</f>
        <v>0</v>
      </c>
      <c r="F245" s="21"/>
    </row>
    <row r="246" spans="1:6" ht="15" customHeight="1" x14ac:dyDescent="0.2">
      <c r="A246" s="25" t="s">
        <v>352</v>
      </c>
      <c r="B246" s="145" t="s">
        <v>353</v>
      </c>
      <c r="C246" s="132">
        <f>+[2]BS17A!$D1949</f>
        <v>0</v>
      </c>
      <c r="D246" s="26">
        <f>+[2]BS17A!$U1949</f>
        <v>359460</v>
      </c>
      <c r="E246" s="97">
        <f>+[2]BS17A!$V1949</f>
        <v>0</v>
      </c>
      <c r="F246" s="21"/>
    </row>
    <row r="247" spans="1:6" ht="15" customHeight="1" x14ac:dyDescent="0.2">
      <c r="A247" s="25" t="s">
        <v>354</v>
      </c>
      <c r="B247" s="145" t="s">
        <v>355</v>
      </c>
      <c r="C247" s="132">
        <f>+[2]BS17A!$D1950</f>
        <v>0</v>
      </c>
      <c r="D247" s="26">
        <f>+[2]BS17A!$U1950</f>
        <v>613210</v>
      </c>
      <c r="E247" s="97">
        <f>+[2]BS17A!$V1950</f>
        <v>0</v>
      </c>
      <c r="F247" s="21"/>
    </row>
    <row r="248" spans="1:6" ht="15" customHeight="1" x14ac:dyDescent="0.2">
      <c r="A248" s="48" t="s">
        <v>356</v>
      </c>
      <c r="B248" s="145" t="s">
        <v>357</v>
      </c>
      <c r="C248" s="132">
        <f>+[2]BS17A!$D1951</f>
        <v>0</v>
      </c>
      <c r="D248" s="26">
        <f>+[2]BS17A!$U1951</f>
        <v>127720</v>
      </c>
      <c r="E248" s="97">
        <f>+[2]BS17A!$V1951</f>
        <v>0</v>
      </c>
      <c r="F248" s="21"/>
    </row>
    <row r="249" spans="1:6" ht="15" customHeight="1" x14ac:dyDescent="0.2">
      <c r="A249" s="48" t="s">
        <v>358</v>
      </c>
      <c r="B249" s="145" t="s">
        <v>359</v>
      </c>
      <c r="C249" s="132">
        <f>+[2]BS17A!$D1952</f>
        <v>0</v>
      </c>
      <c r="D249" s="26">
        <f>+[2]BS17A!$U1952</f>
        <v>344230</v>
      </c>
      <c r="E249" s="97">
        <f>+[2]BS17A!$V1952</f>
        <v>0</v>
      </c>
      <c r="F249" s="21"/>
    </row>
    <row r="250" spans="1:6" ht="15" customHeight="1" x14ac:dyDescent="0.2">
      <c r="A250" s="48" t="s">
        <v>360</v>
      </c>
      <c r="B250" s="145" t="s">
        <v>361</v>
      </c>
      <c r="C250" s="156">
        <f>+[2]BS17A!$D1953</f>
        <v>0</v>
      </c>
      <c r="D250" s="28">
        <f>+[2]BS17A!$U1953</f>
        <v>144940</v>
      </c>
      <c r="E250" s="120">
        <f>+[2]BS17A!$V1953</f>
        <v>0</v>
      </c>
      <c r="F250" s="21"/>
    </row>
    <row r="251" spans="1:6" ht="15" customHeight="1" x14ac:dyDescent="0.2">
      <c r="A251" s="48" t="s">
        <v>362</v>
      </c>
      <c r="B251" s="145" t="s">
        <v>363</v>
      </c>
      <c r="C251" s="156">
        <f>+[2]BS17A!$D1954</f>
        <v>0</v>
      </c>
      <c r="D251" s="28">
        <f>+[2]BS17A!$U1954</f>
        <v>125950</v>
      </c>
      <c r="E251" s="120">
        <f>+[2]BS17A!$V1954</f>
        <v>0</v>
      </c>
      <c r="F251" s="21"/>
    </row>
    <row r="252" spans="1:6" ht="15" customHeight="1" x14ac:dyDescent="0.2">
      <c r="A252" s="48" t="s">
        <v>364</v>
      </c>
      <c r="B252" s="145" t="s">
        <v>365</v>
      </c>
      <c r="C252" s="156">
        <f>+[2]BS17A!$D1955</f>
        <v>0</v>
      </c>
      <c r="D252" s="28">
        <f>+[2]BS17A!$U1955</f>
        <v>191490</v>
      </c>
      <c r="E252" s="120">
        <f>+[2]BS17A!$V1955</f>
        <v>0</v>
      </c>
      <c r="F252" s="21"/>
    </row>
    <row r="253" spans="1:6" ht="15" customHeight="1" x14ac:dyDescent="0.2">
      <c r="A253" s="48" t="s">
        <v>366</v>
      </c>
      <c r="B253" s="145" t="s">
        <v>367</v>
      </c>
      <c r="C253" s="156">
        <f>+[2]BS17A!$D1956</f>
        <v>0</v>
      </c>
      <c r="D253" s="28">
        <f>+[2]BS17A!$U1956</f>
        <v>50390</v>
      </c>
      <c r="E253" s="120">
        <f>+[2]BS17A!$V1956</f>
        <v>0</v>
      </c>
      <c r="F253" s="21"/>
    </row>
    <row r="254" spans="1:6" ht="15" customHeight="1" x14ac:dyDescent="0.2">
      <c r="A254" s="79" t="s">
        <v>368</v>
      </c>
      <c r="B254" s="155" t="s">
        <v>369</v>
      </c>
      <c r="C254" s="142">
        <f>+[2]BS17A!$D1957</f>
        <v>0</v>
      </c>
      <c r="D254" s="33">
        <f>+[2]BS17A!$U1957</f>
        <v>37660</v>
      </c>
      <c r="E254" s="102">
        <f>+[2]BS17A!$V1957</f>
        <v>0</v>
      </c>
      <c r="F254" s="21"/>
    </row>
    <row r="255" spans="1:6" ht="15" customHeight="1" x14ac:dyDescent="0.2">
      <c r="A255" s="552" t="s">
        <v>370</v>
      </c>
      <c r="B255" s="553"/>
      <c r="C255" s="553"/>
      <c r="D255" s="553"/>
      <c r="E255" s="554"/>
      <c r="F255" s="21"/>
    </row>
    <row r="256" spans="1:6" ht="15" customHeight="1" x14ac:dyDescent="0.2">
      <c r="A256" s="179" t="s">
        <v>371</v>
      </c>
      <c r="B256" s="193" t="s">
        <v>343</v>
      </c>
      <c r="C256" s="135">
        <f>+[2]BS17A!$D1958</f>
        <v>0</v>
      </c>
      <c r="D256" s="31">
        <f>+[2]BS17A!$U1958</f>
        <v>206500</v>
      </c>
      <c r="E256" s="96">
        <f>+[2]BS17A!$V1958</f>
        <v>0</v>
      </c>
      <c r="F256" s="21"/>
    </row>
    <row r="257" spans="1:6" ht="15" customHeight="1" x14ac:dyDescent="0.2">
      <c r="A257" s="180" t="s">
        <v>372</v>
      </c>
      <c r="B257" s="194" t="s">
        <v>373</v>
      </c>
      <c r="C257" s="132">
        <f>+[2]BS17A!$D1959</f>
        <v>0</v>
      </c>
      <c r="D257" s="26">
        <f>+[2]BS17A!$U1959</f>
        <v>1228440</v>
      </c>
      <c r="E257" s="97">
        <f>+[2]BS17A!$V1959</f>
        <v>0</v>
      </c>
      <c r="F257" s="21"/>
    </row>
    <row r="258" spans="1:6" ht="15" customHeight="1" x14ac:dyDescent="0.2">
      <c r="A258" s="180" t="s">
        <v>374</v>
      </c>
      <c r="B258" s="194" t="s">
        <v>375</v>
      </c>
      <c r="C258" s="132">
        <f>+[2]BS17A!$D1960</f>
        <v>0</v>
      </c>
      <c r="D258" s="26">
        <f>+[2]BS17A!$U1960</f>
        <v>185340</v>
      </c>
      <c r="E258" s="97">
        <f>+[2]BS17A!$V1960</f>
        <v>0</v>
      </c>
      <c r="F258" s="21"/>
    </row>
    <row r="259" spans="1:6" ht="15" customHeight="1" x14ac:dyDescent="0.2">
      <c r="A259" s="180" t="s">
        <v>376</v>
      </c>
      <c r="B259" s="194" t="s">
        <v>377</v>
      </c>
      <c r="C259" s="132">
        <f>+[2]BS17A!$D1961</f>
        <v>0</v>
      </c>
      <c r="D259" s="26">
        <f>+[2]BS17A!$U1961</f>
        <v>163900</v>
      </c>
      <c r="E259" s="97">
        <f>+[2]BS17A!$V1961</f>
        <v>0</v>
      </c>
      <c r="F259" s="21"/>
    </row>
    <row r="260" spans="1:6" ht="15" customHeight="1" x14ac:dyDescent="0.2">
      <c r="A260" s="180" t="s">
        <v>378</v>
      </c>
      <c r="B260" s="194" t="s">
        <v>379</v>
      </c>
      <c r="C260" s="132">
        <f>+[2]BS17A!$D1962</f>
        <v>0</v>
      </c>
      <c r="D260" s="26">
        <f>+[2]BS17A!$U1962</f>
        <v>332720</v>
      </c>
      <c r="E260" s="97">
        <f>+[2]BS17A!$V1962</f>
        <v>0</v>
      </c>
      <c r="F260" s="21"/>
    </row>
    <row r="261" spans="1:6" ht="15" customHeight="1" x14ac:dyDescent="0.2">
      <c r="A261" s="180" t="s">
        <v>380</v>
      </c>
      <c r="B261" s="194" t="s">
        <v>381</v>
      </c>
      <c r="C261" s="132">
        <f>+[2]BS17A!$D1963</f>
        <v>0</v>
      </c>
      <c r="D261" s="26">
        <f>+[2]BS17A!$U1963</f>
        <v>1106400</v>
      </c>
      <c r="E261" s="97">
        <f>+[2]BS17A!$V1963</f>
        <v>0</v>
      </c>
      <c r="F261" s="21"/>
    </row>
    <row r="262" spans="1:6" ht="15" customHeight="1" x14ac:dyDescent="0.2">
      <c r="A262" s="180" t="s">
        <v>382</v>
      </c>
      <c r="B262" s="194" t="s">
        <v>383</v>
      </c>
      <c r="C262" s="132">
        <f>+[2]BS17A!$D1964</f>
        <v>0</v>
      </c>
      <c r="D262" s="26">
        <f>+[2]BS17A!$U1964</f>
        <v>1137010</v>
      </c>
      <c r="E262" s="97">
        <f>+[2]BS17A!$V1964</f>
        <v>0</v>
      </c>
      <c r="F262" s="21"/>
    </row>
    <row r="263" spans="1:6" ht="15" customHeight="1" x14ac:dyDescent="0.2">
      <c r="A263" s="180" t="s">
        <v>384</v>
      </c>
      <c r="B263" s="194" t="s">
        <v>385</v>
      </c>
      <c r="C263" s="132">
        <f>+[2]BS17A!$D1965</f>
        <v>0</v>
      </c>
      <c r="D263" s="26">
        <f>+[2]BS17A!$U1965</f>
        <v>900260</v>
      </c>
      <c r="E263" s="97">
        <f>+[2]BS17A!$V1965</f>
        <v>0</v>
      </c>
      <c r="F263" s="21"/>
    </row>
    <row r="264" spans="1:6" ht="15" customHeight="1" x14ac:dyDescent="0.2">
      <c r="A264" s="180" t="s">
        <v>386</v>
      </c>
      <c r="B264" s="194" t="s">
        <v>387</v>
      </c>
      <c r="C264" s="132">
        <f>+[2]BS17A!$D1966</f>
        <v>0</v>
      </c>
      <c r="D264" s="26">
        <f>+[2]BS17A!$U1966</f>
        <v>948790</v>
      </c>
      <c r="E264" s="97">
        <f>+[2]BS17A!$V1966</f>
        <v>0</v>
      </c>
      <c r="F264" s="21"/>
    </row>
    <row r="265" spans="1:6" ht="15" customHeight="1" x14ac:dyDescent="0.2">
      <c r="A265" s="180" t="s">
        <v>388</v>
      </c>
      <c r="B265" s="194" t="s">
        <v>389</v>
      </c>
      <c r="C265" s="132">
        <f>+[2]BS17A!$D1967</f>
        <v>0</v>
      </c>
      <c r="D265" s="26">
        <f>+[2]BS17A!$U1967</f>
        <v>374290</v>
      </c>
      <c r="E265" s="97">
        <f>+[2]BS17A!$V1967</f>
        <v>0</v>
      </c>
      <c r="F265" s="21"/>
    </row>
    <row r="266" spans="1:6" ht="15" customHeight="1" x14ac:dyDescent="0.2">
      <c r="A266" s="180" t="s">
        <v>390</v>
      </c>
      <c r="B266" s="194" t="s">
        <v>391</v>
      </c>
      <c r="C266" s="132">
        <f>+[2]BS17A!$D1968</f>
        <v>0</v>
      </c>
      <c r="D266" s="26">
        <f>+[2]BS17A!$U1968</f>
        <v>89640</v>
      </c>
      <c r="E266" s="97">
        <f>+[2]BS17A!$V1968</f>
        <v>0</v>
      </c>
      <c r="F266" s="21"/>
    </row>
    <row r="267" spans="1:6" ht="15" customHeight="1" x14ac:dyDescent="0.2">
      <c r="A267" s="180" t="s">
        <v>392</v>
      </c>
      <c r="B267" s="194" t="s">
        <v>393</v>
      </c>
      <c r="C267" s="132">
        <f>+[2]BS17A!$D1969</f>
        <v>0</v>
      </c>
      <c r="D267" s="26">
        <f>+[2]BS17A!$U1969</f>
        <v>267430</v>
      </c>
      <c r="E267" s="97">
        <f>+[2]BS17A!$V1969</f>
        <v>0</v>
      </c>
      <c r="F267" s="21"/>
    </row>
    <row r="268" spans="1:6" ht="15" customHeight="1" x14ac:dyDescent="0.2">
      <c r="A268" s="180" t="s">
        <v>394</v>
      </c>
      <c r="B268" s="177" t="s">
        <v>395</v>
      </c>
      <c r="C268" s="132">
        <f>+[2]BS17A!$D1970</f>
        <v>0</v>
      </c>
      <c r="D268" s="26">
        <f>+[2]BS17A!$U1970</f>
        <v>75610</v>
      </c>
      <c r="E268" s="97">
        <f>+[2]BS17A!$V1970</f>
        <v>0</v>
      </c>
      <c r="F268" s="21"/>
    </row>
    <row r="269" spans="1:6" ht="15" customHeight="1" x14ac:dyDescent="0.2">
      <c r="A269" s="180" t="s">
        <v>396</v>
      </c>
      <c r="B269" s="177" t="s">
        <v>397</v>
      </c>
      <c r="C269" s="132">
        <f>+[2]BS17A!$D1971</f>
        <v>0</v>
      </c>
      <c r="D269" s="26">
        <f>+[2]BS17A!$U1971</f>
        <v>1299270</v>
      </c>
      <c r="E269" s="97">
        <f>+[2]BS17A!$V1971</f>
        <v>0</v>
      </c>
      <c r="F269" s="21"/>
    </row>
    <row r="270" spans="1:6" ht="15" customHeight="1" x14ac:dyDescent="0.2">
      <c r="A270" s="180" t="s">
        <v>398</v>
      </c>
      <c r="B270" s="177" t="s">
        <v>399</v>
      </c>
      <c r="C270" s="132">
        <f>+[2]BS17A!$D1972</f>
        <v>0</v>
      </c>
      <c r="D270" s="26">
        <f>+[2]BS17A!$U1972</f>
        <v>303800</v>
      </c>
      <c r="E270" s="97">
        <f>+[2]BS17A!$V1972</f>
        <v>0</v>
      </c>
      <c r="F270" s="21"/>
    </row>
    <row r="271" spans="1:6" ht="15" customHeight="1" x14ac:dyDescent="0.2">
      <c r="A271" s="180" t="s">
        <v>400</v>
      </c>
      <c r="B271" s="177" t="s">
        <v>401</v>
      </c>
      <c r="C271" s="132">
        <f>+[2]BS17A!$D1973</f>
        <v>0</v>
      </c>
      <c r="D271" s="26">
        <f>+[2]BS17A!$U1973</f>
        <v>1017740</v>
      </c>
      <c r="E271" s="97">
        <f>+[2]BS17A!$V1973</f>
        <v>0</v>
      </c>
      <c r="F271" s="21"/>
    </row>
    <row r="272" spans="1:6" ht="15" customHeight="1" x14ac:dyDescent="0.2">
      <c r="A272" s="180" t="s">
        <v>402</v>
      </c>
      <c r="B272" s="195" t="s">
        <v>403</v>
      </c>
      <c r="C272" s="132">
        <f>+[2]BS17A!$D1974</f>
        <v>0</v>
      </c>
      <c r="D272" s="26">
        <f>+[2]BS17A!$U1974</f>
        <v>623060</v>
      </c>
      <c r="E272" s="97">
        <f>+[2]BS17A!$V1974</f>
        <v>0</v>
      </c>
      <c r="F272" s="21"/>
    </row>
    <row r="273" spans="1:10" ht="15" customHeight="1" x14ac:dyDescent="0.2">
      <c r="A273" s="181" t="s">
        <v>404</v>
      </c>
      <c r="B273" s="195" t="s">
        <v>405</v>
      </c>
      <c r="C273" s="142">
        <f>+[2]BS17A!$D1975</f>
        <v>0</v>
      </c>
      <c r="D273" s="28">
        <f>+[2]BS17A!$U1975</f>
        <v>508460</v>
      </c>
      <c r="E273" s="120">
        <f>+[2]BS17A!$V1975</f>
        <v>0</v>
      </c>
      <c r="F273" s="21"/>
    </row>
    <row r="274" spans="1:10" ht="15" customHeight="1" x14ac:dyDescent="0.2">
      <c r="A274" s="552" t="s">
        <v>406</v>
      </c>
      <c r="B274" s="553"/>
      <c r="C274" s="553"/>
      <c r="D274" s="553"/>
      <c r="E274" s="554"/>
      <c r="F274" s="21"/>
    </row>
    <row r="275" spans="1:10" ht="15" customHeight="1" x14ac:dyDescent="0.2">
      <c r="A275" s="179" t="s">
        <v>407</v>
      </c>
      <c r="B275" s="188" t="s">
        <v>408</v>
      </c>
      <c r="C275" s="158">
        <f>+[2]BS17A!$D1976</f>
        <v>0</v>
      </c>
      <c r="D275" s="23">
        <f>[2]BS17A!U1976</f>
        <v>274090</v>
      </c>
      <c r="E275" s="121">
        <f>+[2]BS17A!$V1976</f>
        <v>0</v>
      </c>
      <c r="F275" s="21"/>
    </row>
    <row r="276" spans="1:10" ht="15" customHeight="1" x14ac:dyDescent="0.2">
      <c r="A276" s="180" t="s">
        <v>409</v>
      </c>
      <c r="B276" s="177" t="s">
        <v>410</v>
      </c>
      <c r="C276" s="132">
        <f>+[2]BS17A!$D1977</f>
        <v>0</v>
      </c>
      <c r="D276" s="26">
        <f>[2]BS17A!U1977</f>
        <v>159800</v>
      </c>
      <c r="E276" s="97">
        <f>+[2]BS17A!$V1977</f>
        <v>0</v>
      </c>
      <c r="F276" s="21"/>
    </row>
    <row r="277" spans="1:10" ht="15" customHeight="1" x14ac:dyDescent="0.2">
      <c r="A277" s="180" t="s">
        <v>411</v>
      </c>
      <c r="B277" s="177" t="s">
        <v>412</v>
      </c>
      <c r="C277" s="132">
        <f>+[2]BS17A!$D1978</f>
        <v>0</v>
      </c>
      <c r="D277" s="26">
        <f>[2]BS17A!U1978</f>
        <v>386120</v>
      </c>
      <c r="E277" s="97">
        <f>+[2]BS17A!$V1978</f>
        <v>0</v>
      </c>
      <c r="F277" s="21"/>
    </row>
    <row r="278" spans="1:10" ht="15" customHeight="1" x14ac:dyDescent="0.2">
      <c r="A278" s="180" t="s">
        <v>413</v>
      </c>
      <c r="B278" s="177" t="s">
        <v>414</v>
      </c>
      <c r="C278" s="132">
        <f>+[2]BS17A!$D1979</f>
        <v>0</v>
      </c>
      <c r="D278" s="26">
        <f>[2]BS17A!U1979</f>
        <v>400140</v>
      </c>
      <c r="E278" s="97">
        <f>+[2]BS17A!$V1979</f>
        <v>0</v>
      </c>
      <c r="F278" s="21"/>
    </row>
    <row r="279" spans="1:10" ht="15" customHeight="1" x14ac:dyDescent="0.2">
      <c r="A279" s="181" t="s">
        <v>415</v>
      </c>
      <c r="B279" s="189" t="s">
        <v>416</v>
      </c>
      <c r="C279" s="142">
        <f>+[2]BS17A!$D1980</f>
        <v>0</v>
      </c>
      <c r="D279" s="33">
        <f>[2]BS17A!U1980</f>
        <v>250030</v>
      </c>
      <c r="E279" s="102">
        <f>+[2]BS17A!$V1980</f>
        <v>0</v>
      </c>
      <c r="F279" s="122"/>
    </row>
    <row r="280" spans="1:10" ht="15" customHeight="1" x14ac:dyDescent="0.2">
      <c r="A280" s="192" t="s">
        <v>417</v>
      </c>
      <c r="B280" s="190" t="s">
        <v>418</v>
      </c>
      <c r="C280" s="159">
        <f>+[2]BS17A!$D1981</f>
        <v>80</v>
      </c>
      <c r="D280" s="123">
        <f>[2]BS17A!U1981</f>
        <v>34000</v>
      </c>
      <c r="E280" s="119">
        <f>+[2]BS17A!$V1981</f>
        <v>2720000</v>
      </c>
      <c r="F280" s="122"/>
    </row>
    <row r="281" spans="1:10" ht="15" customHeight="1" x14ac:dyDescent="0.2">
      <c r="A281" s="187"/>
      <c r="B281" s="191" t="s">
        <v>419</v>
      </c>
      <c r="C281" s="35">
        <f>SUM(C241:C280)</f>
        <v>80</v>
      </c>
      <c r="D281" s="100"/>
      <c r="E281" s="101">
        <f>SUM(E241:E280)</f>
        <v>2720000</v>
      </c>
      <c r="F281" s="122"/>
    </row>
    <row r="282" spans="1:10" ht="18" customHeight="1" x14ac:dyDescent="0.2">
      <c r="A282" s="114"/>
      <c r="B282" s="21"/>
      <c r="C282" s="21"/>
      <c r="D282" s="114"/>
      <c r="E282" s="114"/>
      <c r="F282" s="21"/>
    </row>
    <row r="283" spans="1:10" ht="18" customHeight="1" x14ac:dyDescent="0.2">
      <c r="A283" s="114"/>
      <c r="B283" s="116"/>
      <c r="C283" s="116"/>
      <c r="D283" s="114"/>
      <c r="E283" s="114"/>
      <c r="F283" s="124"/>
      <c r="G283" s="125"/>
      <c r="J283" s="126"/>
    </row>
    <row r="284" spans="1:10" ht="12.75" customHeight="1" x14ac:dyDescent="0.2">
      <c r="A284" s="557" t="s">
        <v>420</v>
      </c>
      <c r="B284" s="558"/>
      <c r="C284" s="558"/>
      <c r="D284" s="558"/>
      <c r="E284" s="559"/>
      <c r="F284" s="21"/>
    </row>
    <row r="285" spans="1:10" ht="44.25" customHeight="1" x14ac:dyDescent="0.2">
      <c r="A285" s="1" t="s">
        <v>8</v>
      </c>
      <c r="B285" s="1" t="s">
        <v>420</v>
      </c>
      <c r="C285" s="235" t="s">
        <v>341</v>
      </c>
      <c r="D285" s="3" t="s">
        <v>11</v>
      </c>
      <c r="E285" s="237" t="s">
        <v>12</v>
      </c>
      <c r="F285" s="122"/>
    </row>
    <row r="286" spans="1:10" ht="15" customHeight="1" x14ac:dyDescent="0.2">
      <c r="A286" s="179" t="s">
        <v>421</v>
      </c>
      <c r="B286" s="183" t="s">
        <v>422</v>
      </c>
      <c r="C286" s="135">
        <f>+[2]BS17A!$D1983</f>
        <v>8</v>
      </c>
      <c r="D286" s="31">
        <f>+[2]BS17A!$U1983</f>
        <v>6690</v>
      </c>
      <c r="E286" s="96">
        <f>+[2]BS17A!$V1983</f>
        <v>53520</v>
      </c>
      <c r="F286" s="21"/>
    </row>
    <row r="287" spans="1:10" ht="15" customHeight="1" x14ac:dyDescent="0.2">
      <c r="A287" s="180" t="s">
        <v>423</v>
      </c>
      <c r="B287" s="184" t="s">
        <v>424</v>
      </c>
      <c r="C287" s="132">
        <f>+[2]BS17A!$D1984</f>
        <v>0</v>
      </c>
      <c r="D287" s="26">
        <f>+[2]BS17A!$U1984</f>
        <v>3560</v>
      </c>
      <c r="E287" s="97">
        <f>+[2]BS17A!$V1984</f>
        <v>0</v>
      </c>
      <c r="F287" s="21"/>
    </row>
    <row r="288" spans="1:10" ht="15" customHeight="1" x14ac:dyDescent="0.2">
      <c r="A288" s="180" t="s">
        <v>425</v>
      </c>
      <c r="B288" s="184" t="s">
        <v>426</v>
      </c>
      <c r="C288" s="132">
        <f>+[2]BS17A!$D1985</f>
        <v>0</v>
      </c>
      <c r="D288" s="26">
        <f>+[2]BS17A!$U1985</f>
        <v>13430</v>
      </c>
      <c r="E288" s="97">
        <f>+[2]BS17A!$V1985</f>
        <v>0</v>
      </c>
      <c r="F288" s="21"/>
    </row>
    <row r="289" spans="1:7" ht="15" customHeight="1" x14ac:dyDescent="0.2">
      <c r="A289" s="180" t="s">
        <v>427</v>
      </c>
      <c r="B289" s="184" t="s">
        <v>428</v>
      </c>
      <c r="C289" s="132">
        <f>+[2]BS17A!$D1986</f>
        <v>0</v>
      </c>
      <c r="D289" s="26">
        <f>+[2]BS17A!$U1986</f>
        <v>137660</v>
      </c>
      <c r="E289" s="97">
        <f>+[2]BS17A!$V1986</f>
        <v>0</v>
      </c>
      <c r="F289" s="21"/>
    </row>
    <row r="290" spans="1:7" ht="15" customHeight="1" x14ac:dyDescent="0.2">
      <c r="A290" s="181" t="s">
        <v>429</v>
      </c>
      <c r="B290" s="185" t="s">
        <v>430</v>
      </c>
      <c r="C290" s="142">
        <f>+[2]BS17A!$D1987</f>
        <v>1</v>
      </c>
      <c r="D290" s="33">
        <f>+[2]BS17A!$U1987</f>
        <v>756090</v>
      </c>
      <c r="E290" s="102">
        <f>+[2]BS17A!$V1987</f>
        <v>756090</v>
      </c>
      <c r="F290" s="21"/>
    </row>
    <row r="291" spans="1:7" ht="15" customHeight="1" x14ac:dyDescent="0.2">
      <c r="A291" s="187"/>
      <c r="B291" s="186" t="s">
        <v>431</v>
      </c>
      <c r="C291" s="68">
        <f>SUM(C286:C290)</f>
        <v>9</v>
      </c>
      <c r="D291" s="44"/>
      <c r="E291" s="69">
        <f>SUM(E286:E290)</f>
        <v>809610</v>
      </c>
      <c r="F291" s="21"/>
    </row>
    <row r="292" spans="1:7" ht="18" customHeight="1" x14ac:dyDescent="0.2">
      <c r="A292" s="114"/>
      <c r="B292" s="116"/>
      <c r="C292" s="114"/>
      <c r="D292" s="114"/>
      <c r="E292" s="114"/>
      <c r="F292" s="21"/>
    </row>
    <row r="293" spans="1:7" ht="18" customHeight="1" x14ac:dyDescent="0.2">
      <c r="A293" s="114"/>
      <c r="B293" s="116"/>
      <c r="C293" s="114"/>
      <c r="D293" s="114"/>
      <c r="E293" s="114"/>
      <c r="F293" s="127"/>
      <c r="G293" s="22"/>
    </row>
    <row r="294" spans="1:7" ht="12.75" x14ac:dyDescent="0.2">
      <c r="A294" s="552" t="s">
        <v>432</v>
      </c>
      <c r="B294" s="553"/>
      <c r="C294" s="553"/>
      <c r="D294" s="553"/>
      <c r="E294" s="554"/>
      <c r="F294" s="128"/>
      <c r="G294" s="22"/>
    </row>
    <row r="295" spans="1:7" ht="42.75" customHeight="1" x14ac:dyDescent="0.2">
      <c r="A295" s="1" t="s">
        <v>8</v>
      </c>
      <c r="B295" s="154" t="s">
        <v>432</v>
      </c>
      <c r="C295" s="8" t="s">
        <v>433</v>
      </c>
      <c r="D295" s="3" t="s">
        <v>11</v>
      </c>
      <c r="E295" s="237" t="s">
        <v>12</v>
      </c>
      <c r="F295" s="128"/>
      <c r="G295" s="22"/>
    </row>
    <row r="296" spans="1:7" ht="15" customHeight="1" x14ac:dyDescent="0.2">
      <c r="A296" s="179" t="s">
        <v>434</v>
      </c>
      <c r="B296" s="175" t="s">
        <v>435</v>
      </c>
      <c r="C296" s="135">
        <f>+[2]BS17A!$D1863</f>
        <v>222</v>
      </c>
      <c r="D296" s="31">
        <f>+[2]BS17A!$U1863</f>
        <v>17890</v>
      </c>
      <c r="E296" s="96">
        <f>+[2]BS17A!$V1863</f>
        <v>3971580</v>
      </c>
      <c r="F296" s="21"/>
    </row>
    <row r="297" spans="1:7" ht="15" customHeight="1" x14ac:dyDescent="0.2">
      <c r="A297" s="180" t="s">
        <v>436</v>
      </c>
      <c r="B297" s="176" t="s">
        <v>437</v>
      </c>
      <c r="C297" s="132">
        <f>+[2]BS17A!$D1864</f>
        <v>194</v>
      </c>
      <c r="D297" s="26">
        <f>+[2]BS17A!$U1864</f>
        <v>56280</v>
      </c>
      <c r="E297" s="97">
        <f>+[2]BS17A!$V1864</f>
        <v>10918320</v>
      </c>
      <c r="F297" s="21"/>
    </row>
    <row r="298" spans="1:7" ht="15" customHeight="1" x14ac:dyDescent="0.2">
      <c r="A298" s="180" t="s">
        <v>438</v>
      </c>
      <c r="B298" s="176" t="s">
        <v>439</v>
      </c>
      <c r="C298" s="132">
        <f>+[2]BS17A!$D1865</f>
        <v>0</v>
      </c>
      <c r="D298" s="26">
        <f>+[2]BS17A!$U1865</f>
        <v>69770</v>
      </c>
      <c r="E298" s="97">
        <f>+[2]BS17A!$V1865</f>
        <v>0</v>
      </c>
      <c r="F298" s="21"/>
    </row>
    <row r="299" spans="1:7" ht="15" customHeight="1" x14ac:dyDescent="0.2">
      <c r="A299" s="180" t="s">
        <v>440</v>
      </c>
      <c r="B299" s="176" t="s">
        <v>441</v>
      </c>
      <c r="C299" s="132">
        <f>+[2]BS17A!$D1866</f>
        <v>161</v>
      </c>
      <c r="D299" s="26">
        <f>+[2]BS17A!$U1866</f>
        <v>2450</v>
      </c>
      <c r="E299" s="97">
        <f>+[2]BS17A!$V1866</f>
        <v>394450</v>
      </c>
      <c r="F299" s="21"/>
    </row>
    <row r="300" spans="1:7" ht="15" customHeight="1" x14ac:dyDescent="0.2">
      <c r="A300" s="180" t="s">
        <v>442</v>
      </c>
      <c r="B300" s="176" t="s">
        <v>443</v>
      </c>
      <c r="C300" s="132">
        <f>+[2]BS17A!$D1867</f>
        <v>0</v>
      </c>
      <c r="D300" s="26">
        <f>+[2]BS17A!$U1867</f>
        <v>70</v>
      </c>
      <c r="E300" s="97">
        <f>+[2]BS17A!$V1867</f>
        <v>0</v>
      </c>
      <c r="F300" s="21"/>
    </row>
    <row r="301" spans="1:7" ht="15" customHeight="1" x14ac:dyDescent="0.2">
      <c r="A301" s="180" t="s">
        <v>444</v>
      </c>
      <c r="B301" s="177" t="s">
        <v>445</v>
      </c>
      <c r="C301" s="132">
        <f>+[2]BS17A!$D1868</f>
        <v>0</v>
      </c>
      <c r="D301" s="26">
        <f>+[2]BS17A!$U1868</f>
        <v>148120</v>
      </c>
      <c r="E301" s="97">
        <f>+[2]BS17A!$V1868</f>
        <v>0</v>
      </c>
      <c r="F301" s="21"/>
    </row>
    <row r="302" spans="1:7" ht="15" customHeight="1" x14ac:dyDescent="0.2">
      <c r="A302" s="181" t="s">
        <v>446</v>
      </c>
      <c r="B302" s="178" t="s">
        <v>447</v>
      </c>
      <c r="C302" s="142">
        <f>+[2]BS17A!$D1869</f>
        <v>0</v>
      </c>
      <c r="D302" s="33">
        <f>+[2]BS17A!$U1869</f>
        <v>10070</v>
      </c>
      <c r="E302" s="102">
        <f>+[2]BS17A!$V1869</f>
        <v>0</v>
      </c>
      <c r="F302" s="21"/>
    </row>
    <row r="303" spans="1:7" ht="15" customHeight="1" x14ac:dyDescent="0.2">
      <c r="A303" s="182"/>
      <c r="B303" s="575" t="s">
        <v>448</v>
      </c>
      <c r="C303" s="576"/>
      <c r="D303" s="118"/>
      <c r="E303" s="129">
        <f>SUM(E296:E302)</f>
        <v>15284350</v>
      </c>
      <c r="F303" s="21"/>
    </row>
    <row r="304" spans="1:7" ht="12.75" x14ac:dyDescent="0.2">
      <c r="A304" s="21"/>
      <c r="B304" s="21"/>
      <c r="C304" s="21"/>
      <c r="D304" s="21"/>
      <c r="E304" s="21"/>
      <c r="F304" s="111"/>
      <c r="G304" s="113"/>
    </row>
    <row r="305" spans="1:7" ht="12.75" x14ac:dyDescent="0.2">
      <c r="A305" s="21"/>
      <c r="B305" s="21"/>
      <c r="C305" s="21"/>
      <c r="D305" s="21"/>
      <c r="E305" s="21"/>
      <c r="F305" s="111"/>
      <c r="G305" s="113"/>
    </row>
    <row r="306" spans="1:7" ht="12.75" x14ac:dyDescent="0.2">
      <c r="A306" s="567" t="s">
        <v>449</v>
      </c>
      <c r="B306" s="568"/>
      <c r="C306" s="568"/>
      <c r="D306" s="568"/>
      <c r="E306" s="569"/>
      <c r="F306" s="111"/>
      <c r="G306" s="113"/>
    </row>
    <row r="307" spans="1:7" ht="12.75" x14ac:dyDescent="0.2">
      <c r="A307" s="63"/>
      <c r="B307" s="572" t="s">
        <v>450</v>
      </c>
      <c r="C307" s="573"/>
      <c r="D307" s="574"/>
      <c r="E307" s="130">
        <f>+E232+E237+E281+E291+E303</f>
        <v>35303690</v>
      </c>
      <c r="F307" s="21"/>
    </row>
    <row r="308" spans="1:7" ht="12.75" x14ac:dyDescent="0.2">
      <c r="A308" s="21"/>
      <c r="B308" s="21"/>
      <c r="C308" s="21"/>
      <c r="D308" s="21"/>
      <c r="E308" s="21"/>
      <c r="F308" s="111"/>
      <c r="G308" s="113"/>
    </row>
    <row r="309" spans="1:7" ht="12.75" x14ac:dyDescent="0.2">
      <c r="A309" s="21"/>
      <c r="B309" s="21"/>
      <c r="C309" s="21"/>
      <c r="D309" s="21"/>
      <c r="E309" s="21"/>
      <c r="F309" s="111"/>
      <c r="G309" s="113"/>
    </row>
    <row r="310" spans="1:7" ht="12.75" x14ac:dyDescent="0.2">
      <c r="A310" s="567" t="s">
        <v>451</v>
      </c>
      <c r="B310" s="568"/>
      <c r="C310" s="568"/>
      <c r="D310" s="568"/>
      <c r="E310" s="569"/>
      <c r="F310" s="111"/>
      <c r="G310" s="113"/>
    </row>
    <row r="311" spans="1:7" ht="25.5" x14ac:dyDescent="0.2">
      <c r="A311" s="552" t="s">
        <v>452</v>
      </c>
      <c r="B311" s="553"/>
      <c r="C311" s="553"/>
      <c r="D311" s="554"/>
      <c r="E311" s="1" t="s">
        <v>12</v>
      </c>
      <c r="F311" s="111"/>
      <c r="G311" s="113"/>
    </row>
    <row r="312" spans="1:7" ht="15" customHeight="1" x14ac:dyDescent="0.2">
      <c r="A312" s="63"/>
      <c r="B312" s="572" t="s">
        <v>453</v>
      </c>
      <c r="C312" s="573"/>
      <c r="D312" s="574"/>
      <c r="E312" s="130">
        <f>+E50+E76+E84+F109+E116+C121+E148+E155+E168+E204+E218+C225+E307</f>
        <v>706860235</v>
      </c>
      <c r="F312" s="111"/>
      <c r="G312" s="113"/>
    </row>
    <row r="313" spans="1:7" ht="18" customHeight="1" x14ac:dyDescent="0.2">
      <c r="A313" s="21"/>
      <c r="B313" s="21"/>
      <c r="C313" s="21"/>
      <c r="D313" s="21"/>
      <c r="E313" s="21"/>
      <c r="F313" s="18"/>
    </row>
    <row r="314" spans="1:7" ht="18" customHeight="1" x14ac:dyDescent="0.2">
      <c r="A314" s="21"/>
      <c r="B314" s="21"/>
      <c r="C314" s="21"/>
      <c r="D314" s="21"/>
      <c r="E314" s="21"/>
      <c r="F314" s="18"/>
    </row>
    <row r="315" spans="1:7" ht="18" customHeight="1" x14ac:dyDescent="0.2">
      <c r="A315" s="567" t="s">
        <v>454</v>
      </c>
      <c r="B315" s="568"/>
      <c r="C315" s="569"/>
      <c r="D315" s="21"/>
      <c r="E315" s="21"/>
      <c r="F315" s="18"/>
    </row>
    <row r="316" spans="1:7" ht="18" customHeight="1" x14ac:dyDescent="0.2">
      <c r="A316" s="552" t="s">
        <v>455</v>
      </c>
      <c r="B316" s="553"/>
      <c r="C316" s="554"/>
      <c r="D316" s="21"/>
      <c r="E316" s="21"/>
      <c r="F316" s="18"/>
    </row>
    <row r="317" spans="1:7" ht="30.75" customHeight="1" x14ac:dyDescent="0.2">
      <c r="A317" s="567" t="s">
        <v>456</v>
      </c>
      <c r="B317" s="568"/>
      <c r="C317" s="1" t="s">
        <v>457</v>
      </c>
      <c r="D317" s="21"/>
      <c r="E317" s="21"/>
      <c r="F317" s="21"/>
    </row>
    <row r="318" spans="1:7" ht="15" customHeight="1" x14ac:dyDescent="0.2">
      <c r="A318" s="131" t="s">
        <v>458</v>
      </c>
      <c r="B318" s="144"/>
      <c r="C318" s="150"/>
      <c r="D318" s="21"/>
      <c r="E318" s="21"/>
      <c r="F318" s="21"/>
    </row>
    <row r="319" spans="1:7" ht="15" customHeight="1" x14ac:dyDescent="0.2">
      <c r="A319" s="132" t="s">
        <v>459</v>
      </c>
      <c r="B319" s="145"/>
      <c r="C319" s="151"/>
      <c r="D319" s="21"/>
      <c r="E319" s="21"/>
      <c r="F319" s="21"/>
    </row>
    <row r="320" spans="1:7" ht="15" customHeight="1" x14ac:dyDescent="0.2">
      <c r="A320" s="132" t="s">
        <v>460</v>
      </c>
      <c r="B320" s="145"/>
      <c r="C320" s="151"/>
      <c r="D320" s="21"/>
      <c r="E320" s="21"/>
      <c r="F320" s="21"/>
    </row>
    <row r="321" spans="1:6" ht="15" customHeight="1" x14ac:dyDescent="0.2">
      <c r="A321" s="133" t="s">
        <v>461</v>
      </c>
      <c r="B321" s="145"/>
      <c r="C321" s="151"/>
      <c r="D321" s="21"/>
      <c r="E321" s="21"/>
      <c r="F321" s="21"/>
    </row>
    <row r="322" spans="1:6" ht="15" customHeight="1" x14ac:dyDescent="0.2">
      <c r="A322" s="134" t="s">
        <v>462</v>
      </c>
      <c r="B322" s="146"/>
      <c r="C322" s="152">
        <f>SUM(C318:C321)</f>
        <v>0</v>
      </c>
      <c r="D322" s="21"/>
      <c r="E322" s="21"/>
      <c r="F322" s="21"/>
    </row>
    <row r="323" spans="1:6" ht="15" customHeight="1" x14ac:dyDescent="0.2">
      <c r="A323" s="135" t="s">
        <v>463</v>
      </c>
      <c r="B323" s="147"/>
      <c r="C323" s="150">
        <v>5174063</v>
      </c>
      <c r="D323" s="21"/>
      <c r="E323" s="21"/>
      <c r="F323" s="21"/>
    </row>
    <row r="324" spans="1:6" ht="15" customHeight="1" x14ac:dyDescent="0.2">
      <c r="A324" s="136" t="s">
        <v>464</v>
      </c>
      <c r="B324" s="148"/>
      <c r="C324" s="151"/>
      <c r="D324" s="21"/>
      <c r="E324" s="21"/>
      <c r="F324" s="21"/>
    </row>
    <row r="325" spans="1:6" ht="15" customHeight="1" x14ac:dyDescent="0.2">
      <c r="A325" s="132" t="s">
        <v>465</v>
      </c>
      <c r="B325" s="148"/>
      <c r="C325" s="151"/>
      <c r="D325" s="21"/>
      <c r="E325" s="21"/>
      <c r="F325" s="21"/>
    </row>
    <row r="326" spans="1:6" ht="15" customHeight="1" x14ac:dyDescent="0.2">
      <c r="A326" s="132" t="s">
        <v>466</v>
      </c>
      <c r="B326" s="148"/>
      <c r="C326" s="151"/>
      <c r="D326" s="21"/>
      <c r="E326" s="21"/>
      <c r="F326" s="21"/>
    </row>
    <row r="327" spans="1:6" ht="15" customHeight="1" x14ac:dyDescent="0.2">
      <c r="A327" s="136" t="s">
        <v>467</v>
      </c>
      <c r="B327" s="148"/>
      <c r="C327" s="151"/>
      <c r="D327" s="21"/>
      <c r="E327" s="21"/>
      <c r="F327" s="21"/>
    </row>
    <row r="328" spans="1:6" ht="15" customHeight="1" x14ac:dyDescent="0.2">
      <c r="A328" s="136" t="s">
        <v>468</v>
      </c>
      <c r="B328" s="148"/>
      <c r="C328" s="151"/>
      <c r="D328" s="21"/>
      <c r="E328" s="21"/>
      <c r="F328" s="21"/>
    </row>
    <row r="329" spans="1:6" ht="15" customHeight="1" x14ac:dyDescent="0.2">
      <c r="A329" s="137" t="s">
        <v>469</v>
      </c>
      <c r="B329" s="149"/>
      <c r="C329" s="153">
        <v>78674638</v>
      </c>
      <c r="D329" s="21"/>
      <c r="E329" s="21"/>
      <c r="F329" s="21"/>
    </row>
    <row r="330" spans="1:6" ht="15" customHeight="1" x14ac:dyDescent="0.2">
      <c r="A330" s="35"/>
      <c r="B330" s="143" t="s">
        <v>470</v>
      </c>
      <c r="C330" s="106">
        <f>SUM(C322:C329)</f>
        <v>83848701</v>
      </c>
      <c r="D330" s="21"/>
      <c r="E330" s="21"/>
      <c r="F330" s="21"/>
    </row>
    <row r="331" spans="1:6" ht="12.75" x14ac:dyDescent="0.2">
      <c r="A331" s="21"/>
      <c r="B331" s="21"/>
      <c r="C331" s="21"/>
      <c r="D331" s="21"/>
      <c r="E331" s="21"/>
      <c r="F331" s="18"/>
    </row>
    <row r="332" spans="1:6" ht="12.75" x14ac:dyDescent="0.2">
      <c r="A332" s="21"/>
      <c r="B332" s="21"/>
      <c r="C332" s="21"/>
      <c r="D332" s="21"/>
      <c r="E332" s="21"/>
      <c r="F332" s="18"/>
    </row>
    <row r="333" spans="1:6" ht="12.75" x14ac:dyDescent="0.2">
      <c r="A333" s="21"/>
      <c r="B333" s="21"/>
      <c r="C333" s="21"/>
      <c r="D333" s="21"/>
      <c r="E333" s="21"/>
      <c r="F333" s="18"/>
    </row>
    <row r="334" spans="1:6" ht="12.75" x14ac:dyDescent="0.2">
      <c r="A334" s="114"/>
      <c r="B334" s="114"/>
      <c r="C334" s="114"/>
      <c r="D334" s="114"/>
      <c r="E334" s="114"/>
      <c r="F334" s="127"/>
    </row>
    <row r="335" spans="1:6" ht="12.75" x14ac:dyDescent="0.2">
      <c r="A335" s="114"/>
      <c r="B335" s="114"/>
      <c r="C335" s="114"/>
      <c r="D335" s="114"/>
      <c r="E335" s="541" t="str">
        <f>[2]NOMBRE!B12</f>
        <v xml:space="preserve">SRA. MARIA INES NUÑEZ GONZALEZ </v>
      </c>
      <c r="F335" s="541"/>
    </row>
    <row r="336" spans="1:6" ht="12.75" x14ac:dyDescent="0.2">
      <c r="A336" s="114"/>
      <c r="B336" s="114"/>
      <c r="C336" s="114"/>
      <c r="D336" s="116"/>
      <c r="E336" s="542" t="str">
        <f>[2]NOMBRE!A12</f>
        <v>Jefe de Estadisticas</v>
      </c>
      <c r="F336" s="542"/>
    </row>
    <row r="337" spans="1:6" ht="12.75" x14ac:dyDescent="0.2">
      <c r="A337" s="114"/>
      <c r="B337" s="114"/>
      <c r="C337" s="114"/>
      <c r="D337" s="114"/>
      <c r="E337" s="234"/>
      <c r="F337" s="6"/>
    </row>
    <row r="338" spans="1:6" ht="12.75" x14ac:dyDescent="0.2">
      <c r="A338" s="114"/>
      <c r="B338" s="114"/>
      <c r="C338" s="114"/>
      <c r="D338" s="114"/>
      <c r="E338" s="6"/>
      <c r="F338" s="6"/>
    </row>
    <row r="339" spans="1:6" ht="12.75" x14ac:dyDescent="0.2">
      <c r="A339" s="114"/>
      <c r="B339" s="114"/>
      <c r="C339" s="114"/>
      <c r="D339" s="114"/>
      <c r="E339" s="6"/>
      <c r="F339" s="6"/>
    </row>
    <row r="340" spans="1:6" ht="12.75" x14ac:dyDescent="0.2">
      <c r="A340" s="114"/>
      <c r="B340" s="114"/>
      <c r="C340" s="114"/>
      <c r="D340" s="114"/>
      <c r="E340" s="6"/>
      <c r="F340" s="6"/>
    </row>
    <row r="341" spans="1:6" ht="12.75" x14ac:dyDescent="0.2">
      <c r="A341" s="114"/>
      <c r="B341" s="114"/>
      <c r="C341" s="114"/>
      <c r="D341" s="114"/>
      <c r="E341" s="6"/>
      <c r="F341" s="6"/>
    </row>
    <row r="342" spans="1:6" ht="12.75" x14ac:dyDescent="0.2">
      <c r="A342" s="114"/>
      <c r="B342" s="114"/>
      <c r="C342" s="114"/>
      <c r="D342" s="114"/>
      <c r="E342" s="6"/>
      <c r="F342" s="6"/>
    </row>
    <row r="343" spans="1:6" ht="12.75" x14ac:dyDescent="0.2">
      <c r="A343" s="114"/>
      <c r="B343" s="114"/>
      <c r="C343" s="114"/>
      <c r="D343" s="114"/>
      <c r="E343" s="6"/>
      <c r="F343" s="6"/>
    </row>
    <row r="344" spans="1:6" ht="12.75" x14ac:dyDescent="0.2">
      <c r="A344" s="114"/>
      <c r="B344" s="114"/>
      <c r="C344" s="114"/>
      <c r="D344" s="114"/>
      <c r="E344" s="541" t="str">
        <f>[2]NOMBRE!B11</f>
        <v xml:space="preserve">DR. FRANCISCO MARTINEZ CAVALLA </v>
      </c>
      <c r="F344" s="541"/>
    </row>
    <row r="345" spans="1:6" ht="22.5" customHeight="1" x14ac:dyDescent="0.2">
      <c r="A345" s="114"/>
      <c r="B345" s="114"/>
      <c r="C345" s="114"/>
      <c r="D345" s="127"/>
      <c r="E345" s="542" t="str">
        <f>CONCATENATE("Director ",[2]NOMBRE!B1)</f>
        <v xml:space="preserve">Director </v>
      </c>
      <c r="F345" s="542"/>
    </row>
    <row r="346" spans="1:6" ht="12.75" x14ac:dyDescent="0.2">
      <c r="A346" s="114"/>
      <c r="B346" s="114"/>
      <c r="C346" s="114"/>
      <c r="D346" s="138"/>
      <c r="E346" s="114"/>
      <c r="F346" s="127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0" zoomScaleNormal="70" workbookViewId="0">
      <selection activeCell="B16" sqref="B16"/>
    </sheetView>
  </sheetViews>
  <sheetFormatPr baseColWidth="10" defaultRowHeight="10.5" x14ac:dyDescent="0.15"/>
  <cols>
    <col min="1" max="1" width="20.28515625" style="225" customWidth="1"/>
    <col min="2" max="2" width="83.140625" style="225" customWidth="1"/>
    <col min="3" max="5" width="21.42578125" style="225" customWidth="1"/>
    <col min="6" max="6" width="19.5703125" style="226" customWidth="1"/>
    <col min="7" max="7" width="2.42578125" style="225" customWidth="1"/>
    <col min="8" max="9" width="5.140625" style="225" customWidth="1"/>
    <col min="10" max="256" width="11.42578125" style="225"/>
    <col min="257" max="257" width="20.28515625" style="225" customWidth="1"/>
    <col min="258" max="258" width="83.140625" style="225" customWidth="1"/>
    <col min="259" max="261" width="21.42578125" style="225" customWidth="1"/>
    <col min="262" max="262" width="19.5703125" style="225" customWidth="1"/>
    <col min="263" max="263" width="2.42578125" style="225" customWidth="1"/>
    <col min="264" max="265" width="5.140625" style="225" customWidth="1"/>
    <col min="266" max="512" width="11.42578125" style="225"/>
    <col min="513" max="513" width="20.28515625" style="225" customWidth="1"/>
    <col min="514" max="514" width="83.140625" style="225" customWidth="1"/>
    <col min="515" max="517" width="21.42578125" style="225" customWidth="1"/>
    <col min="518" max="518" width="19.5703125" style="225" customWidth="1"/>
    <col min="519" max="519" width="2.42578125" style="225" customWidth="1"/>
    <col min="520" max="521" width="5.140625" style="225" customWidth="1"/>
    <col min="522" max="768" width="11.42578125" style="225"/>
    <col min="769" max="769" width="20.28515625" style="225" customWidth="1"/>
    <col min="770" max="770" width="83.140625" style="225" customWidth="1"/>
    <col min="771" max="773" width="21.42578125" style="225" customWidth="1"/>
    <col min="774" max="774" width="19.5703125" style="225" customWidth="1"/>
    <col min="775" max="775" width="2.42578125" style="225" customWidth="1"/>
    <col min="776" max="777" width="5.140625" style="225" customWidth="1"/>
    <col min="778" max="1024" width="11.42578125" style="225"/>
    <col min="1025" max="1025" width="20.28515625" style="225" customWidth="1"/>
    <col min="1026" max="1026" width="83.140625" style="225" customWidth="1"/>
    <col min="1027" max="1029" width="21.42578125" style="225" customWidth="1"/>
    <col min="1030" max="1030" width="19.5703125" style="225" customWidth="1"/>
    <col min="1031" max="1031" width="2.42578125" style="225" customWidth="1"/>
    <col min="1032" max="1033" width="5.140625" style="225" customWidth="1"/>
    <col min="1034" max="1280" width="11.42578125" style="225"/>
    <col min="1281" max="1281" width="20.28515625" style="225" customWidth="1"/>
    <col min="1282" max="1282" width="83.140625" style="225" customWidth="1"/>
    <col min="1283" max="1285" width="21.42578125" style="225" customWidth="1"/>
    <col min="1286" max="1286" width="19.5703125" style="225" customWidth="1"/>
    <col min="1287" max="1287" width="2.42578125" style="225" customWidth="1"/>
    <col min="1288" max="1289" width="5.140625" style="225" customWidth="1"/>
    <col min="1290" max="1536" width="11.42578125" style="225"/>
    <col min="1537" max="1537" width="20.28515625" style="225" customWidth="1"/>
    <col min="1538" max="1538" width="83.140625" style="225" customWidth="1"/>
    <col min="1539" max="1541" width="21.42578125" style="225" customWidth="1"/>
    <col min="1542" max="1542" width="19.5703125" style="225" customWidth="1"/>
    <col min="1543" max="1543" width="2.42578125" style="225" customWidth="1"/>
    <col min="1544" max="1545" width="5.140625" style="225" customWidth="1"/>
    <col min="1546" max="1792" width="11.42578125" style="225"/>
    <col min="1793" max="1793" width="20.28515625" style="225" customWidth="1"/>
    <col min="1794" max="1794" width="83.140625" style="225" customWidth="1"/>
    <col min="1795" max="1797" width="21.42578125" style="225" customWidth="1"/>
    <col min="1798" max="1798" width="19.5703125" style="225" customWidth="1"/>
    <col min="1799" max="1799" width="2.42578125" style="225" customWidth="1"/>
    <col min="1800" max="1801" width="5.140625" style="225" customWidth="1"/>
    <col min="1802" max="2048" width="11.42578125" style="225"/>
    <col min="2049" max="2049" width="20.28515625" style="225" customWidth="1"/>
    <col min="2050" max="2050" width="83.140625" style="225" customWidth="1"/>
    <col min="2051" max="2053" width="21.42578125" style="225" customWidth="1"/>
    <col min="2054" max="2054" width="19.5703125" style="225" customWidth="1"/>
    <col min="2055" max="2055" width="2.42578125" style="225" customWidth="1"/>
    <col min="2056" max="2057" width="5.140625" style="225" customWidth="1"/>
    <col min="2058" max="2304" width="11.42578125" style="225"/>
    <col min="2305" max="2305" width="20.28515625" style="225" customWidth="1"/>
    <col min="2306" max="2306" width="83.140625" style="225" customWidth="1"/>
    <col min="2307" max="2309" width="21.42578125" style="225" customWidth="1"/>
    <col min="2310" max="2310" width="19.5703125" style="225" customWidth="1"/>
    <col min="2311" max="2311" width="2.42578125" style="225" customWidth="1"/>
    <col min="2312" max="2313" width="5.140625" style="225" customWidth="1"/>
    <col min="2314" max="2560" width="11.42578125" style="225"/>
    <col min="2561" max="2561" width="20.28515625" style="225" customWidth="1"/>
    <col min="2562" max="2562" width="83.140625" style="225" customWidth="1"/>
    <col min="2563" max="2565" width="21.42578125" style="225" customWidth="1"/>
    <col min="2566" max="2566" width="19.5703125" style="225" customWidth="1"/>
    <col min="2567" max="2567" width="2.42578125" style="225" customWidth="1"/>
    <col min="2568" max="2569" width="5.140625" style="225" customWidth="1"/>
    <col min="2570" max="2816" width="11.42578125" style="225"/>
    <col min="2817" max="2817" width="20.28515625" style="225" customWidth="1"/>
    <col min="2818" max="2818" width="83.140625" style="225" customWidth="1"/>
    <col min="2819" max="2821" width="21.42578125" style="225" customWidth="1"/>
    <col min="2822" max="2822" width="19.5703125" style="225" customWidth="1"/>
    <col min="2823" max="2823" width="2.42578125" style="225" customWidth="1"/>
    <col min="2824" max="2825" width="5.140625" style="225" customWidth="1"/>
    <col min="2826" max="3072" width="11.42578125" style="225"/>
    <col min="3073" max="3073" width="20.28515625" style="225" customWidth="1"/>
    <col min="3074" max="3074" width="83.140625" style="225" customWidth="1"/>
    <col min="3075" max="3077" width="21.42578125" style="225" customWidth="1"/>
    <col min="3078" max="3078" width="19.5703125" style="225" customWidth="1"/>
    <col min="3079" max="3079" width="2.42578125" style="225" customWidth="1"/>
    <col min="3080" max="3081" width="5.140625" style="225" customWidth="1"/>
    <col min="3082" max="3328" width="11.42578125" style="225"/>
    <col min="3329" max="3329" width="20.28515625" style="225" customWidth="1"/>
    <col min="3330" max="3330" width="83.140625" style="225" customWidth="1"/>
    <col min="3331" max="3333" width="21.42578125" style="225" customWidth="1"/>
    <col min="3334" max="3334" width="19.5703125" style="225" customWidth="1"/>
    <col min="3335" max="3335" width="2.42578125" style="225" customWidth="1"/>
    <col min="3336" max="3337" width="5.140625" style="225" customWidth="1"/>
    <col min="3338" max="3584" width="11.42578125" style="225"/>
    <col min="3585" max="3585" width="20.28515625" style="225" customWidth="1"/>
    <col min="3586" max="3586" width="83.140625" style="225" customWidth="1"/>
    <col min="3587" max="3589" width="21.42578125" style="225" customWidth="1"/>
    <col min="3590" max="3590" width="19.5703125" style="225" customWidth="1"/>
    <col min="3591" max="3591" width="2.42578125" style="225" customWidth="1"/>
    <col min="3592" max="3593" width="5.140625" style="225" customWidth="1"/>
    <col min="3594" max="3840" width="11.42578125" style="225"/>
    <col min="3841" max="3841" width="20.28515625" style="225" customWidth="1"/>
    <col min="3842" max="3842" width="83.140625" style="225" customWidth="1"/>
    <col min="3843" max="3845" width="21.42578125" style="225" customWidth="1"/>
    <col min="3846" max="3846" width="19.5703125" style="225" customWidth="1"/>
    <col min="3847" max="3847" width="2.42578125" style="225" customWidth="1"/>
    <col min="3848" max="3849" width="5.140625" style="225" customWidth="1"/>
    <col min="3850" max="4096" width="11.42578125" style="225"/>
    <col min="4097" max="4097" width="20.28515625" style="225" customWidth="1"/>
    <col min="4098" max="4098" width="83.140625" style="225" customWidth="1"/>
    <col min="4099" max="4101" width="21.42578125" style="225" customWidth="1"/>
    <col min="4102" max="4102" width="19.5703125" style="225" customWidth="1"/>
    <col min="4103" max="4103" width="2.42578125" style="225" customWidth="1"/>
    <col min="4104" max="4105" width="5.140625" style="225" customWidth="1"/>
    <col min="4106" max="4352" width="11.42578125" style="225"/>
    <col min="4353" max="4353" width="20.28515625" style="225" customWidth="1"/>
    <col min="4354" max="4354" width="83.140625" style="225" customWidth="1"/>
    <col min="4355" max="4357" width="21.42578125" style="225" customWidth="1"/>
    <col min="4358" max="4358" width="19.5703125" style="225" customWidth="1"/>
    <col min="4359" max="4359" width="2.42578125" style="225" customWidth="1"/>
    <col min="4360" max="4361" width="5.140625" style="225" customWidth="1"/>
    <col min="4362" max="4608" width="11.42578125" style="225"/>
    <col min="4609" max="4609" width="20.28515625" style="225" customWidth="1"/>
    <col min="4610" max="4610" width="83.140625" style="225" customWidth="1"/>
    <col min="4611" max="4613" width="21.42578125" style="225" customWidth="1"/>
    <col min="4614" max="4614" width="19.5703125" style="225" customWidth="1"/>
    <col min="4615" max="4615" width="2.42578125" style="225" customWidth="1"/>
    <col min="4616" max="4617" width="5.140625" style="225" customWidth="1"/>
    <col min="4618" max="4864" width="11.42578125" style="225"/>
    <col min="4865" max="4865" width="20.28515625" style="225" customWidth="1"/>
    <col min="4866" max="4866" width="83.140625" style="225" customWidth="1"/>
    <col min="4867" max="4869" width="21.42578125" style="225" customWidth="1"/>
    <col min="4870" max="4870" width="19.5703125" style="225" customWidth="1"/>
    <col min="4871" max="4871" width="2.42578125" style="225" customWidth="1"/>
    <col min="4872" max="4873" width="5.140625" style="225" customWidth="1"/>
    <col min="4874" max="5120" width="11.42578125" style="225"/>
    <col min="5121" max="5121" width="20.28515625" style="225" customWidth="1"/>
    <col min="5122" max="5122" width="83.140625" style="225" customWidth="1"/>
    <col min="5123" max="5125" width="21.42578125" style="225" customWidth="1"/>
    <col min="5126" max="5126" width="19.5703125" style="225" customWidth="1"/>
    <col min="5127" max="5127" width="2.42578125" style="225" customWidth="1"/>
    <col min="5128" max="5129" width="5.140625" style="225" customWidth="1"/>
    <col min="5130" max="5376" width="11.42578125" style="225"/>
    <col min="5377" max="5377" width="20.28515625" style="225" customWidth="1"/>
    <col min="5378" max="5378" width="83.140625" style="225" customWidth="1"/>
    <col min="5379" max="5381" width="21.42578125" style="225" customWidth="1"/>
    <col min="5382" max="5382" width="19.5703125" style="225" customWidth="1"/>
    <col min="5383" max="5383" width="2.42578125" style="225" customWidth="1"/>
    <col min="5384" max="5385" width="5.140625" style="225" customWidth="1"/>
    <col min="5386" max="5632" width="11.42578125" style="225"/>
    <col min="5633" max="5633" width="20.28515625" style="225" customWidth="1"/>
    <col min="5634" max="5634" width="83.140625" style="225" customWidth="1"/>
    <col min="5635" max="5637" width="21.42578125" style="225" customWidth="1"/>
    <col min="5638" max="5638" width="19.5703125" style="225" customWidth="1"/>
    <col min="5639" max="5639" width="2.42578125" style="225" customWidth="1"/>
    <col min="5640" max="5641" width="5.140625" style="225" customWidth="1"/>
    <col min="5642" max="5888" width="11.42578125" style="225"/>
    <col min="5889" max="5889" width="20.28515625" style="225" customWidth="1"/>
    <col min="5890" max="5890" width="83.140625" style="225" customWidth="1"/>
    <col min="5891" max="5893" width="21.42578125" style="225" customWidth="1"/>
    <col min="5894" max="5894" width="19.5703125" style="225" customWidth="1"/>
    <col min="5895" max="5895" width="2.42578125" style="225" customWidth="1"/>
    <col min="5896" max="5897" width="5.140625" style="225" customWidth="1"/>
    <col min="5898" max="6144" width="11.42578125" style="225"/>
    <col min="6145" max="6145" width="20.28515625" style="225" customWidth="1"/>
    <col min="6146" max="6146" width="83.140625" style="225" customWidth="1"/>
    <col min="6147" max="6149" width="21.42578125" style="225" customWidth="1"/>
    <col min="6150" max="6150" width="19.5703125" style="225" customWidth="1"/>
    <col min="6151" max="6151" width="2.42578125" style="225" customWidth="1"/>
    <col min="6152" max="6153" width="5.140625" style="225" customWidth="1"/>
    <col min="6154" max="6400" width="11.42578125" style="225"/>
    <col min="6401" max="6401" width="20.28515625" style="225" customWidth="1"/>
    <col min="6402" max="6402" width="83.140625" style="225" customWidth="1"/>
    <col min="6403" max="6405" width="21.42578125" style="225" customWidth="1"/>
    <col min="6406" max="6406" width="19.5703125" style="225" customWidth="1"/>
    <col min="6407" max="6407" width="2.42578125" style="225" customWidth="1"/>
    <col min="6408" max="6409" width="5.140625" style="225" customWidth="1"/>
    <col min="6410" max="6656" width="11.42578125" style="225"/>
    <col min="6657" max="6657" width="20.28515625" style="225" customWidth="1"/>
    <col min="6658" max="6658" width="83.140625" style="225" customWidth="1"/>
    <col min="6659" max="6661" width="21.42578125" style="225" customWidth="1"/>
    <col min="6662" max="6662" width="19.5703125" style="225" customWidth="1"/>
    <col min="6663" max="6663" width="2.42578125" style="225" customWidth="1"/>
    <col min="6664" max="6665" width="5.140625" style="225" customWidth="1"/>
    <col min="6666" max="6912" width="11.42578125" style="225"/>
    <col min="6913" max="6913" width="20.28515625" style="225" customWidth="1"/>
    <col min="6914" max="6914" width="83.140625" style="225" customWidth="1"/>
    <col min="6915" max="6917" width="21.42578125" style="225" customWidth="1"/>
    <col min="6918" max="6918" width="19.5703125" style="225" customWidth="1"/>
    <col min="6919" max="6919" width="2.42578125" style="225" customWidth="1"/>
    <col min="6920" max="6921" width="5.140625" style="225" customWidth="1"/>
    <col min="6922" max="7168" width="11.42578125" style="225"/>
    <col min="7169" max="7169" width="20.28515625" style="225" customWidth="1"/>
    <col min="7170" max="7170" width="83.140625" style="225" customWidth="1"/>
    <col min="7171" max="7173" width="21.42578125" style="225" customWidth="1"/>
    <col min="7174" max="7174" width="19.5703125" style="225" customWidth="1"/>
    <col min="7175" max="7175" width="2.42578125" style="225" customWidth="1"/>
    <col min="7176" max="7177" width="5.140625" style="225" customWidth="1"/>
    <col min="7178" max="7424" width="11.42578125" style="225"/>
    <col min="7425" max="7425" width="20.28515625" style="225" customWidth="1"/>
    <col min="7426" max="7426" width="83.140625" style="225" customWidth="1"/>
    <col min="7427" max="7429" width="21.42578125" style="225" customWidth="1"/>
    <col min="7430" max="7430" width="19.5703125" style="225" customWidth="1"/>
    <col min="7431" max="7431" width="2.42578125" style="225" customWidth="1"/>
    <col min="7432" max="7433" width="5.140625" style="225" customWidth="1"/>
    <col min="7434" max="7680" width="11.42578125" style="225"/>
    <col min="7681" max="7681" width="20.28515625" style="225" customWidth="1"/>
    <col min="7682" max="7682" width="83.140625" style="225" customWidth="1"/>
    <col min="7683" max="7685" width="21.42578125" style="225" customWidth="1"/>
    <col min="7686" max="7686" width="19.5703125" style="225" customWidth="1"/>
    <col min="7687" max="7687" width="2.42578125" style="225" customWidth="1"/>
    <col min="7688" max="7689" width="5.140625" style="225" customWidth="1"/>
    <col min="7690" max="7936" width="11.42578125" style="225"/>
    <col min="7937" max="7937" width="20.28515625" style="225" customWidth="1"/>
    <col min="7938" max="7938" width="83.140625" style="225" customWidth="1"/>
    <col min="7939" max="7941" width="21.42578125" style="225" customWidth="1"/>
    <col min="7942" max="7942" width="19.5703125" style="225" customWidth="1"/>
    <col min="7943" max="7943" width="2.42578125" style="225" customWidth="1"/>
    <col min="7944" max="7945" width="5.140625" style="225" customWidth="1"/>
    <col min="7946" max="8192" width="11.42578125" style="225"/>
    <col min="8193" max="8193" width="20.28515625" style="225" customWidth="1"/>
    <col min="8194" max="8194" width="83.140625" style="225" customWidth="1"/>
    <col min="8195" max="8197" width="21.42578125" style="225" customWidth="1"/>
    <col min="8198" max="8198" width="19.5703125" style="225" customWidth="1"/>
    <col min="8199" max="8199" width="2.42578125" style="225" customWidth="1"/>
    <col min="8200" max="8201" width="5.140625" style="225" customWidth="1"/>
    <col min="8202" max="8448" width="11.42578125" style="225"/>
    <col min="8449" max="8449" width="20.28515625" style="225" customWidth="1"/>
    <col min="8450" max="8450" width="83.140625" style="225" customWidth="1"/>
    <col min="8451" max="8453" width="21.42578125" style="225" customWidth="1"/>
    <col min="8454" max="8454" width="19.5703125" style="225" customWidth="1"/>
    <col min="8455" max="8455" width="2.42578125" style="225" customWidth="1"/>
    <col min="8456" max="8457" width="5.140625" style="225" customWidth="1"/>
    <col min="8458" max="8704" width="11.42578125" style="225"/>
    <col min="8705" max="8705" width="20.28515625" style="225" customWidth="1"/>
    <col min="8706" max="8706" width="83.140625" style="225" customWidth="1"/>
    <col min="8707" max="8709" width="21.42578125" style="225" customWidth="1"/>
    <col min="8710" max="8710" width="19.5703125" style="225" customWidth="1"/>
    <col min="8711" max="8711" width="2.42578125" style="225" customWidth="1"/>
    <col min="8712" max="8713" width="5.140625" style="225" customWidth="1"/>
    <col min="8714" max="8960" width="11.42578125" style="225"/>
    <col min="8961" max="8961" width="20.28515625" style="225" customWidth="1"/>
    <col min="8962" max="8962" width="83.140625" style="225" customWidth="1"/>
    <col min="8963" max="8965" width="21.42578125" style="225" customWidth="1"/>
    <col min="8966" max="8966" width="19.5703125" style="225" customWidth="1"/>
    <col min="8967" max="8967" width="2.42578125" style="225" customWidth="1"/>
    <col min="8968" max="8969" width="5.140625" style="225" customWidth="1"/>
    <col min="8970" max="9216" width="11.42578125" style="225"/>
    <col min="9217" max="9217" width="20.28515625" style="225" customWidth="1"/>
    <col min="9218" max="9218" width="83.140625" style="225" customWidth="1"/>
    <col min="9219" max="9221" width="21.42578125" style="225" customWidth="1"/>
    <col min="9222" max="9222" width="19.5703125" style="225" customWidth="1"/>
    <col min="9223" max="9223" width="2.42578125" style="225" customWidth="1"/>
    <col min="9224" max="9225" width="5.140625" style="225" customWidth="1"/>
    <col min="9226" max="9472" width="11.42578125" style="225"/>
    <col min="9473" max="9473" width="20.28515625" style="225" customWidth="1"/>
    <col min="9474" max="9474" width="83.140625" style="225" customWidth="1"/>
    <col min="9475" max="9477" width="21.42578125" style="225" customWidth="1"/>
    <col min="9478" max="9478" width="19.5703125" style="225" customWidth="1"/>
    <col min="9479" max="9479" width="2.42578125" style="225" customWidth="1"/>
    <col min="9480" max="9481" width="5.140625" style="225" customWidth="1"/>
    <col min="9482" max="9728" width="11.42578125" style="225"/>
    <col min="9729" max="9729" width="20.28515625" style="225" customWidth="1"/>
    <col min="9730" max="9730" width="83.140625" style="225" customWidth="1"/>
    <col min="9731" max="9733" width="21.42578125" style="225" customWidth="1"/>
    <col min="9734" max="9734" width="19.5703125" style="225" customWidth="1"/>
    <col min="9735" max="9735" width="2.42578125" style="225" customWidth="1"/>
    <col min="9736" max="9737" width="5.140625" style="225" customWidth="1"/>
    <col min="9738" max="9984" width="11.42578125" style="225"/>
    <col min="9985" max="9985" width="20.28515625" style="225" customWidth="1"/>
    <col min="9986" max="9986" width="83.140625" style="225" customWidth="1"/>
    <col min="9987" max="9989" width="21.42578125" style="225" customWidth="1"/>
    <col min="9990" max="9990" width="19.5703125" style="225" customWidth="1"/>
    <col min="9991" max="9991" width="2.42578125" style="225" customWidth="1"/>
    <col min="9992" max="9993" width="5.140625" style="225" customWidth="1"/>
    <col min="9994" max="10240" width="11.42578125" style="225"/>
    <col min="10241" max="10241" width="20.28515625" style="225" customWidth="1"/>
    <col min="10242" max="10242" width="83.140625" style="225" customWidth="1"/>
    <col min="10243" max="10245" width="21.42578125" style="225" customWidth="1"/>
    <col min="10246" max="10246" width="19.5703125" style="225" customWidth="1"/>
    <col min="10247" max="10247" width="2.42578125" style="225" customWidth="1"/>
    <col min="10248" max="10249" width="5.140625" style="225" customWidth="1"/>
    <col min="10250" max="10496" width="11.42578125" style="225"/>
    <col min="10497" max="10497" width="20.28515625" style="225" customWidth="1"/>
    <col min="10498" max="10498" width="83.140625" style="225" customWidth="1"/>
    <col min="10499" max="10501" width="21.42578125" style="225" customWidth="1"/>
    <col min="10502" max="10502" width="19.5703125" style="225" customWidth="1"/>
    <col min="10503" max="10503" width="2.42578125" style="225" customWidth="1"/>
    <col min="10504" max="10505" width="5.140625" style="225" customWidth="1"/>
    <col min="10506" max="10752" width="11.42578125" style="225"/>
    <col min="10753" max="10753" width="20.28515625" style="225" customWidth="1"/>
    <col min="10754" max="10754" width="83.140625" style="225" customWidth="1"/>
    <col min="10755" max="10757" width="21.42578125" style="225" customWidth="1"/>
    <col min="10758" max="10758" width="19.5703125" style="225" customWidth="1"/>
    <col min="10759" max="10759" width="2.42578125" style="225" customWidth="1"/>
    <col min="10760" max="10761" width="5.140625" style="225" customWidth="1"/>
    <col min="10762" max="11008" width="11.42578125" style="225"/>
    <col min="11009" max="11009" width="20.28515625" style="225" customWidth="1"/>
    <col min="11010" max="11010" width="83.140625" style="225" customWidth="1"/>
    <col min="11011" max="11013" width="21.42578125" style="225" customWidth="1"/>
    <col min="11014" max="11014" width="19.5703125" style="225" customWidth="1"/>
    <col min="11015" max="11015" width="2.42578125" style="225" customWidth="1"/>
    <col min="11016" max="11017" width="5.140625" style="225" customWidth="1"/>
    <col min="11018" max="11264" width="11.42578125" style="225"/>
    <col min="11265" max="11265" width="20.28515625" style="225" customWidth="1"/>
    <col min="11266" max="11266" width="83.140625" style="225" customWidth="1"/>
    <col min="11267" max="11269" width="21.42578125" style="225" customWidth="1"/>
    <col min="11270" max="11270" width="19.5703125" style="225" customWidth="1"/>
    <col min="11271" max="11271" width="2.42578125" style="225" customWidth="1"/>
    <col min="11272" max="11273" width="5.140625" style="225" customWidth="1"/>
    <col min="11274" max="11520" width="11.42578125" style="225"/>
    <col min="11521" max="11521" width="20.28515625" style="225" customWidth="1"/>
    <col min="11522" max="11522" width="83.140625" style="225" customWidth="1"/>
    <col min="11523" max="11525" width="21.42578125" style="225" customWidth="1"/>
    <col min="11526" max="11526" width="19.5703125" style="225" customWidth="1"/>
    <col min="11527" max="11527" width="2.42578125" style="225" customWidth="1"/>
    <col min="11528" max="11529" width="5.140625" style="225" customWidth="1"/>
    <col min="11530" max="11776" width="11.42578125" style="225"/>
    <col min="11777" max="11777" width="20.28515625" style="225" customWidth="1"/>
    <col min="11778" max="11778" width="83.140625" style="225" customWidth="1"/>
    <col min="11779" max="11781" width="21.42578125" style="225" customWidth="1"/>
    <col min="11782" max="11782" width="19.5703125" style="225" customWidth="1"/>
    <col min="11783" max="11783" width="2.42578125" style="225" customWidth="1"/>
    <col min="11784" max="11785" width="5.140625" style="225" customWidth="1"/>
    <col min="11786" max="12032" width="11.42578125" style="225"/>
    <col min="12033" max="12033" width="20.28515625" style="225" customWidth="1"/>
    <col min="12034" max="12034" width="83.140625" style="225" customWidth="1"/>
    <col min="12035" max="12037" width="21.42578125" style="225" customWidth="1"/>
    <col min="12038" max="12038" width="19.5703125" style="225" customWidth="1"/>
    <col min="12039" max="12039" width="2.42578125" style="225" customWidth="1"/>
    <col min="12040" max="12041" width="5.140625" style="225" customWidth="1"/>
    <col min="12042" max="12288" width="11.42578125" style="225"/>
    <col min="12289" max="12289" width="20.28515625" style="225" customWidth="1"/>
    <col min="12290" max="12290" width="83.140625" style="225" customWidth="1"/>
    <col min="12291" max="12293" width="21.42578125" style="225" customWidth="1"/>
    <col min="12294" max="12294" width="19.5703125" style="225" customWidth="1"/>
    <col min="12295" max="12295" width="2.42578125" style="225" customWidth="1"/>
    <col min="12296" max="12297" width="5.140625" style="225" customWidth="1"/>
    <col min="12298" max="12544" width="11.42578125" style="225"/>
    <col min="12545" max="12545" width="20.28515625" style="225" customWidth="1"/>
    <col min="12546" max="12546" width="83.140625" style="225" customWidth="1"/>
    <col min="12547" max="12549" width="21.42578125" style="225" customWidth="1"/>
    <col min="12550" max="12550" width="19.5703125" style="225" customWidth="1"/>
    <col min="12551" max="12551" width="2.42578125" style="225" customWidth="1"/>
    <col min="12552" max="12553" width="5.140625" style="225" customWidth="1"/>
    <col min="12554" max="12800" width="11.42578125" style="225"/>
    <col min="12801" max="12801" width="20.28515625" style="225" customWidth="1"/>
    <col min="12802" max="12802" width="83.140625" style="225" customWidth="1"/>
    <col min="12803" max="12805" width="21.42578125" style="225" customWidth="1"/>
    <col min="12806" max="12806" width="19.5703125" style="225" customWidth="1"/>
    <col min="12807" max="12807" width="2.42578125" style="225" customWidth="1"/>
    <col min="12808" max="12809" width="5.140625" style="225" customWidth="1"/>
    <col min="12810" max="13056" width="11.42578125" style="225"/>
    <col min="13057" max="13057" width="20.28515625" style="225" customWidth="1"/>
    <col min="13058" max="13058" width="83.140625" style="225" customWidth="1"/>
    <col min="13059" max="13061" width="21.42578125" style="225" customWidth="1"/>
    <col min="13062" max="13062" width="19.5703125" style="225" customWidth="1"/>
    <col min="13063" max="13063" width="2.42578125" style="225" customWidth="1"/>
    <col min="13064" max="13065" width="5.140625" style="225" customWidth="1"/>
    <col min="13066" max="13312" width="11.42578125" style="225"/>
    <col min="13313" max="13313" width="20.28515625" style="225" customWidth="1"/>
    <col min="13314" max="13314" width="83.140625" style="225" customWidth="1"/>
    <col min="13315" max="13317" width="21.42578125" style="225" customWidth="1"/>
    <col min="13318" max="13318" width="19.5703125" style="225" customWidth="1"/>
    <col min="13319" max="13319" width="2.42578125" style="225" customWidth="1"/>
    <col min="13320" max="13321" width="5.140625" style="225" customWidth="1"/>
    <col min="13322" max="13568" width="11.42578125" style="225"/>
    <col min="13569" max="13569" width="20.28515625" style="225" customWidth="1"/>
    <col min="13570" max="13570" width="83.140625" style="225" customWidth="1"/>
    <col min="13571" max="13573" width="21.42578125" style="225" customWidth="1"/>
    <col min="13574" max="13574" width="19.5703125" style="225" customWidth="1"/>
    <col min="13575" max="13575" width="2.42578125" style="225" customWidth="1"/>
    <col min="13576" max="13577" width="5.140625" style="225" customWidth="1"/>
    <col min="13578" max="13824" width="11.42578125" style="225"/>
    <col min="13825" max="13825" width="20.28515625" style="225" customWidth="1"/>
    <col min="13826" max="13826" width="83.140625" style="225" customWidth="1"/>
    <col min="13827" max="13829" width="21.42578125" style="225" customWidth="1"/>
    <col min="13830" max="13830" width="19.5703125" style="225" customWidth="1"/>
    <col min="13831" max="13831" width="2.42578125" style="225" customWidth="1"/>
    <col min="13832" max="13833" width="5.140625" style="225" customWidth="1"/>
    <col min="13834" max="14080" width="11.42578125" style="225"/>
    <col min="14081" max="14081" width="20.28515625" style="225" customWidth="1"/>
    <col min="14082" max="14082" width="83.140625" style="225" customWidth="1"/>
    <col min="14083" max="14085" width="21.42578125" style="225" customWidth="1"/>
    <col min="14086" max="14086" width="19.5703125" style="225" customWidth="1"/>
    <col min="14087" max="14087" width="2.42578125" style="225" customWidth="1"/>
    <col min="14088" max="14089" width="5.140625" style="225" customWidth="1"/>
    <col min="14090" max="14336" width="11.42578125" style="225"/>
    <col min="14337" max="14337" width="20.28515625" style="225" customWidth="1"/>
    <col min="14338" max="14338" width="83.140625" style="225" customWidth="1"/>
    <col min="14339" max="14341" width="21.42578125" style="225" customWidth="1"/>
    <col min="14342" max="14342" width="19.5703125" style="225" customWidth="1"/>
    <col min="14343" max="14343" width="2.42578125" style="225" customWidth="1"/>
    <col min="14344" max="14345" width="5.140625" style="225" customWidth="1"/>
    <col min="14346" max="14592" width="11.42578125" style="225"/>
    <col min="14593" max="14593" width="20.28515625" style="225" customWidth="1"/>
    <col min="14594" max="14594" width="83.140625" style="225" customWidth="1"/>
    <col min="14595" max="14597" width="21.42578125" style="225" customWidth="1"/>
    <col min="14598" max="14598" width="19.5703125" style="225" customWidth="1"/>
    <col min="14599" max="14599" width="2.42578125" style="225" customWidth="1"/>
    <col min="14600" max="14601" width="5.140625" style="225" customWidth="1"/>
    <col min="14602" max="14848" width="11.42578125" style="225"/>
    <col min="14849" max="14849" width="20.28515625" style="225" customWidth="1"/>
    <col min="14850" max="14850" width="83.140625" style="225" customWidth="1"/>
    <col min="14851" max="14853" width="21.42578125" style="225" customWidth="1"/>
    <col min="14854" max="14854" width="19.5703125" style="225" customWidth="1"/>
    <col min="14855" max="14855" width="2.42578125" style="225" customWidth="1"/>
    <col min="14856" max="14857" width="5.140625" style="225" customWidth="1"/>
    <col min="14858" max="15104" width="11.42578125" style="225"/>
    <col min="15105" max="15105" width="20.28515625" style="225" customWidth="1"/>
    <col min="15106" max="15106" width="83.140625" style="225" customWidth="1"/>
    <col min="15107" max="15109" width="21.42578125" style="225" customWidth="1"/>
    <col min="15110" max="15110" width="19.5703125" style="225" customWidth="1"/>
    <col min="15111" max="15111" width="2.42578125" style="225" customWidth="1"/>
    <col min="15112" max="15113" width="5.140625" style="225" customWidth="1"/>
    <col min="15114" max="15360" width="11.42578125" style="225"/>
    <col min="15361" max="15361" width="20.28515625" style="225" customWidth="1"/>
    <col min="15362" max="15362" width="83.140625" style="225" customWidth="1"/>
    <col min="15363" max="15365" width="21.42578125" style="225" customWidth="1"/>
    <col min="15366" max="15366" width="19.5703125" style="225" customWidth="1"/>
    <col min="15367" max="15367" width="2.42578125" style="225" customWidth="1"/>
    <col min="15368" max="15369" width="5.140625" style="225" customWidth="1"/>
    <col min="15370" max="15616" width="11.42578125" style="225"/>
    <col min="15617" max="15617" width="20.28515625" style="225" customWidth="1"/>
    <col min="15618" max="15618" width="83.140625" style="225" customWidth="1"/>
    <col min="15619" max="15621" width="21.42578125" style="225" customWidth="1"/>
    <col min="15622" max="15622" width="19.5703125" style="225" customWidth="1"/>
    <col min="15623" max="15623" width="2.42578125" style="225" customWidth="1"/>
    <col min="15624" max="15625" width="5.140625" style="225" customWidth="1"/>
    <col min="15626" max="15872" width="11.42578125" style="225"/>
    <col min="15873" max="15873" width="20.28515625" style="225" customWidth="1"/>
    <col min="15874" max="15874" width="83.140625" style="225" customWidth="1"/>
    <col min="15875" max="15877" width="21.42578125" style="225" customWidth="1"/>
    <col min="15878" max="15878" width="19.5703125" style="225" customWidth="1"/>
    <col min="15879" max="15879" width="2.42578125" style="225" customWidth="1"/>
    <col min="15880" max="15881" width="5.140625" style="225" customWidth="1"/>
    <col min="15882" max="16128" width="11.42578125" style="225"/>
    <col min="16129" max="16129" width="20.28515625" style="225" customWidth="1"/>
    <col min="16130" max="16130" width="83.140625" style="225" customWidth="1"/>
    <col min="16131" max="16133" width="21.42578125" style="225" customWidth="1"/>
    <col min="16134" max="16134" width="19.5703125" style="225" customWidth="1"/>
    <col min="16135" max="16135" width="2.42578125" style="225" customWidth="1"/>
    <col min="16136" max="16137" width="5.140625" style="225" customWidth="1"/>
    <col min="16138" max="16384" width="11.42578125" style="225"/>
  </cols>
  <sheetData>
    <row r="1" spans="1:7" ht="12.75" x14ac:dyDescent="0.2">
      <c r="A1" s="15" t="s">
        <v>0</v>
      </c>
      <c r="B1" s="16"/>
      <c r="C1" s="543" t="s">
        <v>1</v>
      </c>
      <c r="D1" s="544"/>
      <c r="E1" s="545"/>
      <c r="F1" s="17"/>
    </row>
    <row r="2" spans="1:7" ht="12.75" x14ac:dyDescent="0.2">
      <c r="A2" s="15" t="str">
        <f>CONCATENATE("COMUNA: ",[3]NOMBRE!B2," - ","( ",[3]NOMBRE!C2,[3]NOMBRE!D2,[3]NOMBRE!E2,[3]NOMBRE!F2,[3]NOMBRE!G2," )")</f>
        <v>COMUNA: LINARES  - ( 07401 )</v>
      </c>
      <c r="B2" s="16"/>
      <c r="C2" s="546"/>
      <c r="D2" s="547"/>
      <c r="E2" s="548"/>
      <c r="F2" s="18"/>
      <c r="G2" s="19"/>
    </row>
    <row r="3" spans="1:7" ht="12.75" x14ac:dyDescent="0.2">
      <c r="A3" s="15" t="str">
        <f>CONCATENATE("ESTABLECIMIENTO/ESTRATEGIA: ",[3]NOMBRE!B3," - ","( ",[3]NOMBRE!C3,[3]NOMBRE!D3,[3]NOMBRE!E3,[3]NOMBRE!F3,[3]NOMBRE!G3,[3]NOMBRE!H3," )")</f>
        <v>ESTABLECIMIENTO/ESTRATEGIA: HOSPITAL DE LINARES  - ( 116108 )</v>
      </c>
      <c r="B3" s="16"/>
      <c r="C3" s="543" t="s">
        <v>2</v>
      </c>
      <c r="D3" s="544"/>
      <c r="E3" s="545"/>
      <c r="F3" s="18"/>
      <c r="G3" s="20"/>
    </row>
    <row r="4" spans="1:7" ht="12.75" x14ac:dyDescent="0.2">
      <c r="A4" s="15" t="str">
        <f>CONCATENATE("MES: ",[3]NOMBRE!B6," - ","( ",[3]NOMBRE!C6,[3]NOMBRE!D6," )")</f>
        <v>MES: FEBRERO - ( 02 )</v>
      </c>
      <c r="B4" s="16"/>
      <c r="C4" s="546" t="str">
        <f>CONCATENATE([3]NOMBRE!B6," ","( ",[3]NOMBRE!C6,[3]NOMBRE!D6," )")</f>
        <v>FEBRERO ( 02 )</v>
      </c>
      <c r="D4" s="547"/>
      <c r="E4" s="548"/>
      <c r="F4" s="18"/>
      <c r="G4" s="20"/>
    </row>
    <row r="5" spans="1:7" ht="12.75" x14ac:dyDescent="0.2">
      <c r="A5" s="15" t="str">
        <f>CONCATENATE("AÑO: ",[3]NOMBRE!B7)</f>
        <v>AÑO: 2014</v>
      </c>
      <c r="B5" s="16"/>
      <c r="C5" s="543" t="s">
        <v>3</v>
      </c>
      <c r="D5" s="544"/>
      <c r="E5" s="545"/>
      <c r="F5" s="18"/>
      <c r="G5" s="20"/>
    </row>
    <row r="6" spans="1:7" ht="12.75" x14ac:dyDescent="0.2">
      <c r="A6" s="21"/>
      <c r="B6" s="21"/>
      <c r="C6" s="546">
        <f>[3]NOMBRE!B7</f>
        <v>2014</v>
      </c>
      <c r="D6" s="547"/>
      <c r="E6" s="548"/>
      <c r="F6" s="18"/>
      <c r="G6" s="20"/>
    </row>
    <row r="7" spans="1:7" ht="15" x14ac:dyDescent="0.2">
      <c r="A7" s="555" t="s">
        <v>4</v>
      </c>
      <c r="B7" s="556"/>
      <c r="C7" s="560" t="s">
        <v>5</v>
      </c>
      <c r="D7" s="561"/>
      <c r="E7" s="562"/>
      <c r="F7" s="18"/>
      <c r="G7" s="20"/>
    </row>
    <row r="8" spans="1:7" ht="15" x14ac:dyDescent="0.2">
      <c r="A8" s="21"/>
      <c r="B8" s="240" t="s">
        <v>6</v>
      </c>
      <c r="C8" s="546" t="str">
        <f>CONCATENATE([3]NOMBRE!B3," ","( ",[3]NOMBRE!C3,[3]NOMBRE!D3,[3]NOMBRE!E3,[3]NOMBRE!F3,[3]NOMBRE!G3," )")</f>
        <v>HOSPITAL DE LINARES  ( 11610 )</v>
      </c>
      <c r="D8" s="547"/>
      <c r="E8" s="548"/>
      <c r="F8" s="18"/>
      <c r="G8" s="20"/>
    </row>
    <row r="9" spans="1:7" ht="12.75" x14ac:dyDescent="0.2">
      <c r="A9" s="21"/>
      <c r="B9" s="21"/>
      <c r="C9" s="21"/>
      <c r="D9" s="21"/>
      <c r="E9" s="21"/>
      <c r="F9" s="18"/>
      <c r="G9" s="20"/>
    </row>
    <row r="10" spans="1:7" ht="12.75" x14ac:dyDescent="0.2">
      <c r="A10" s="21"/>
      <c r="B10" s="21"/>
      <c r="C10" s="21"/>
      <c r="D10" s="21"/>
      <c r="E10" s="21"/>
      <c r="F10" s="18"/>
      <c r="G10" s="22"/>
    </row>
    <row r="11" spans="1:7" ht="12.75" x14ac:dyDescent="0.2">
      <c r="A11" s="549" t="s">
        <v>7</v>
      </c>
      <c r="B11" s="550"/>
      <c r="C11" s="550"/>
      <c r="D11" s="550"/>
      <c r="E11" s="551"/>
      <c r="F11" s="18"/>
    </row>
    <row r="12" spans="1:7" ht="43.5" customHeight="1" x14ac:dyDescent="0.2">
      <c r="A12" s="1" t="s">
        <v>8</v>
      </c>
      <c r="B12" s="1" t="s">
        <v>9</v>
      </c>
      <c r="C12" s="235" t="s">
        <v>10</v>
      </c>
      <c r="D12" s="3" t="s">
        <v>11</v>
      </c>
      <c r="E12" s="237" t="s">
        <v>12</v>
      </c>
      <c r="F12" s="21"/>
    </row>
    <row r="13" spans="1:7" ht="12.75" customHeight="1" x14ac:dyDescent="0.2">
      <c r="A13" s="552" t="s">
        <v>13</v>
      </c>
      <c r="B13" s="553"/>
      <c r="C13" s="553"/>
      <c r="D13" s="553"/>
      <c r="E13" s="554"/>
      <c r="F13" s="21"/>
    </row>
    <row r="14" spans="1:7" ht="15" customHeight="1" x14ac:dyDescent="0.2">
      <c r="A14" s="179" t="s">
        <v>14</v>
      </c>
      <c r="B14" s="188" t="s">
        <v>15</v>
      </c>
      <c r="C14" s="132">
        <f>[3]BS17A!$D13</f>
        <v>0</v>
      </c>
      <c r="D14" s="23">
        <f>[3]BS17A!$U13</f>
        <v>4050</v>
      </c>
      <c r="E14" s="24">
        <f>[3]BS17A!$V13</f>
        <v>0</v>
      </c>
      <c r="F14" s="21"/>
    </row>
    <row r="15" spans="1:7" ht="15" customHeight="1" x14ac:dyDescent="0.2">
      <c r="A15" s="180" t="s">
        <v>16</v>
      </c>
      <c r="B15" s="177" t="s">
        <v>17</v>
      </c>
      <c r="C15" s="132">
        <f>[3]BS17A!$D14</f>
        <v>0</v>
      </c>
      <c r="D15" s="26">
        <f>[3]BS17A!$U14</f>
        <v>5090</v>
      </c>
      <c r="E15" s="27">
        <f>[3]BS17A!$V14</f>
        <v>0</v>
      </c>
      <c r="F15" s="21"/>
    </row>
    <row r="16" spans="1:7" ht="15" customHeight="1" x14ac:dyDescent="0.2">
      <c r="A16" s="180" t="s">
        <v>18</v>
      </c>
      <c r="B16" s="177" t="s">
        <v>19</v>
      </c>
      <c r="C16" s="132">
        <f>[3]BS17A!$D15</f>
        <v>5961</v>
      </c>
      <c r="D16" s="26">
        <f>[3]BS17A!$U15</f>
        <v>10920</v>
      </c>
      <c r="E16" s="27">
        <f>[3]BS17A!$V15</f>
        <v>65094120</v>
      </c>
      <c r="F16" s="21"/>
    </row>
    <row r="17" spans="1:6" ht="15" customHeight="1" x14ac:dyDescent="0.2">
      <c r="A17" s="180" t="s">
        <v>20</v>
      </c>
      <c r="B17" s="177" t="s">
        <v>21</v>
      </c>
      <c r="C17" s="132">
        <f>[3]BS17A!$D16</f>
        <v>0</v>
      </c>
      <c r="D17" s="26">
        <f>[3]BS17A!$U16</f>
        <v>6520</v>
      </c>
      <c r="E17" s="27">
        <f>[3]BS17A!$V16</f>
        <v>0</v>
      </c>
      <c r="F17" s="21"/>
    </row>
    <row r="18" spans="1:6" ht="15" customHeight="1" x14ac:dyDescent="0.2">
      <c r="A18" s="180" t="s">
        <v>22</v>
      </c>
      <c r="B18" s="177" t="s">
        <v>23</v>
      </c>
      <c r="C18" s="132">
        <f>[3]BS17A!$D17</f>
        <v>0</v>
      </c>
      <c r="D18" s="26">
        <f>[3]BS17A!$U17</f>
        <v>7160</v>
      </c>
      <c r="E18" s="27">
        <f>[3]BS17A!$V17</f>
        <v>0</v>
      </c>
      <c r="F18" s="21"/>
    </row>
    <row r="19" spans="1:6" ht="33" customHeight="1" x14ac:dyDescent="0.2">
      <c r="A19" s="180" t="s">
        <v>24</v>
      </c>
      <c r="B19" s="14" t="s">
        <v>25</v>
      </c>
      <c r="C19" s="132">
        <f>[3]BS17A!$D20</f>
        <v>0</v>
      </c>
      <c r="D19" s="26">
        <f>[3]BS17A!$U20</f>
        <v>5520</v>
      </c>
      <c r="E19" s="27">
        <f>[3]BS17A!$V20</f>
        <v>0</v>
      </c>
      <c r="F19" s="21"/>
    </row>
    <row r="20" spans="1:6" ht="42.75" customHeight="1" x14ac:dyDescent="0.2">
      <c r="A20" s="180" t="s">
        <v>26</v>
      </c>
      <c r="B20" s="14" t="s">
        <v>27</v>
      </c>
      <c r="C20" s="132">
        <f>[3]BS17A!$D21</f>
        <v>0</v>
      </c>
      <c r="D20" s="26">
        <f>[3]BS17A!$U21</f>
        <v>6620</v>
      </c>
      <c r="E20" s="27">
        <f>[3]BS17A!$V21</f>
        <v>0</v>
      </c>
      <c r="F20" s="21"/>
    </row>
    <row r="21" spans="1:6" ht="42.75" customHeight="1" x14ac:dyDescent="0.2">
      <c r="A21" s="180" t="s">
        <v>28</v>
      </c>
      <c r="B21" s="14" t="s">
        <v>29</v>
      </c>
      <c r="C21" s="132">
        <f>[3]BS17A!$D22</f>
        <v>0</v>
      </c>
      <c r="D21" s="26">
        <f>[3]BS17A!$U22</f>
        <v>8210</v>
      </c>
      <c r="E21" s="27">
        <f>[3]BS17A!$V22</f>
        <v>0</v>
      </c>
      <c r="F21" s="21"/>
    </row>
    <row r="22" spans="1:6" ht="32.25" customHeight="1" x14ac:dyDescent="0.2">
      <c r="A22" s="180" t="s">
        <v>30</v>
      </c>
      <c r="B22" s="14" t="s">
        <v>31</v>
      </c>
      <c r="C22" s="132">
        <f>[3]BS17A!$D23</f>
        <v>1061</v>
      </c>
      <c r="D22" s="26">
        <f>[3]BS17A!$U23</f>
        <v>5520</v>
      </c>
      <c r="E22" s="27">
        <f>[3]BS17A!$V23</f>
        <v>5856720</v>
      </c>
      <c r="F22" s="21"/>
    </row>
    <row r="23" spans="1:6" ht="40.5" customHeight="1" x14ac:dyDescent="0.2">
      <c r="A23" s="180" t="s">
        <v>32</v>
      </c>
      <c r="B23" s="14" t="s">
        <v>33</v>
      </c>
      <c r="C23" s="132">
        <f>[3]BS17A!$D24</f>
        <v>596</v>
      </c>
      <c r="D23" s="26">
        <f>[3]BS17A!$U24</f>
        <v>6620</v>
      </c>
      <c r="E23" s="27">
        <f>[3]BS17A!$V24</f>
        <v>3945520</v>
      </c>
      <c r="F23" s="21"/>
    </row>
    <row r="24" spans="1:6" ht="27" customHeight="1" x14ac:dyDescent="0.2">
      <c r="A24" s="180" t="s">
        <v>34</v>
      </c>
      <c r="B24" s="14" t="s">
        <v>35</v>
      </c>
      <c r="C24" s="132">
        <f>[3]BS17A!$D25</f>
        <v>2095</v>
      </c>
      <c r="D24" s="26">
        <f>[3]BS17A!$U25</f>
        <v>8210</v>
      </c>
      <c r="E24" s="27">
        <f>[3]BS17A!$V25</f>
        <v>17199950</v>
      </c>
      <c r="F24" s="21"/>
    </row>
    <row r="25" spans="1:6" ht="15" customHeight="1" x14ac:dyDescent="0.2">
      <c r="A25" s="180" t="s">
        <v>36</v>
      </c>
      <c r="B25" s="176" t="s">
        <v>37</v>
      </c>
      <c r="C25" s="132">
        <f>+[3]BS17A!$D795</f>
        <v>197</v>
      </c>
      <c r="D25" s="26">
        <f>+[3]BS17A!$U795</f>
        <v>6700</v>
      </c>
      <c r="E25" s="27">
        <f>+[3]BS17A!$V795</f>
        <v>1319900</v>
      </c>
      <c r="F25" s="21"/>
    </row>
    <row r="26" spans="1:6" ht="15" customHeight="1" x14ac:dyDescent="0.2">
      <c r="A26" s="181" t="s">
        <v>38</v>
      </c>
      <c r="B26" s="195" t="s">
        <v>39</v>
      </c>
      <c r="C26" s="142">
        <f>+[3]BS17A!$D800</f>
        <v>0</v>
      </c>
      <c r="D26" s="28">
        <f>+[3]BS17A!$U800</f>
        <v>27750</v>
      </c>
      <c r="E26" s="29">
        <f>+[3]BS17A!$V800</f>
        <v>0</v>
      </c>
      <c r="F26" s="21"/>
    </row>
    <row r="27" spans="1:6" ht="18" customHeight="1" x14ac:dyDescent="0.2">
      <c r="A27" s="552" t="s">
        <v>40</v>
      </c>
      <c r="B27" s="553"/>
      <c r="C27" s="553"/>
      <c r="D27" s="553"/>
      <c r="E27" s="554"/>
      <c r="F27" s="21"/>
    </row>
    <row r="28" spans="1:6" ht="15" customHeight="1" x14ac:dyDescent="0.2">
      <c r="A28" s="179" t="s">
        <v>41</v>
      </c>
      <c r="B28" s="188" t="s">
        <v>42</v>
      </c>
      <c r="C28" s="135">
        <f>[3]BS17A!$D27</f>
        <v>1637</v>
      </c>
      <c r="D28" s="23">
        <f>[3]BS17A!$U27</f>
        <v>1080</v>
      </c>
      <c r="E28" s="24">
        <f>[3]BS17A!$V27</f>
        <v>1767960</v>
      </c>
      <c r="F28" s="21"/>
    </row>
    <row r="29" spans="1:6" ht="15" customHeight="1" x14ac:dyDescent="0.2">
      <c r="A29" s="180" t="s">
        <v>43</v>
      </c>
      <c r="B29" s="194" t="s">
        <v>44</v>
      </c>
      <c r="C29" s="132">
        <f>[3]BS17A!$D28</f>
        <v>0</v>
      </c>
      <c r="D29" s="26">
        <f>[3]BS17A!$U28</f>
        <v>1840</v>
      </c>
      <c r="E29" s="27">
        <f>[3]BS17A!$V28</f>
        <v>0</v>
      </c>
      <c r="F29" s="21"/>
    </row>
    <row r="30" spans="1:6" ht="15" customHeight="1" x14ac:dyDescent="0.2">
      <c r="A30" s="180" t="s">
        <v>45</v>
      </c>
      <c r="B30" s="177" t="s">
        <v>46</v>
      </c>
      <c r="C30" s="132">
        <f>[3]BS17A!$D29</f>
        <v>0</v>
      </c>
      <c r="D30" s="26">
        <f>[3]BS17A!$U29</f>
        <v>590</v>
      </c>
      <c r="E30" s="27">
        <f>[3]BS17A!$V29</f>
        <v>0</v>
      </c>
      <c r="F30" s="21"/>
    </row>
    <row r="31" spans="1:6" ht="15" customHeight="1" x14ac:dyDescent="0.2">
      <c r="A31" s="180" t="s">
        <v>47</v>
      </c>
      <c r="B31" s="177" t="s">
        <v>48</v>
      </c>
      <c r="C31" s="132">
        <f>[3]BS17A!$D30</f>
        <v>91</v>
      </c>
      <c r="D31" s="26">
        <f>[3]BS17A!$U30</f>
        <v>1460</v>
      </c>
      <c r="E31" s="27">
        <f>[3]BS17A!$V30</f>
        <v>132860</v>
      </c>
      <c r="F31" s="21"/>
    </row>
    <row r="32" spans="1:6" ht="15" customHeight="1" x14ac:dyDescent="0.2">
      <c r="A32" s="180" t="s">
        <v>49</v>
      </c>
      <c r="B32" s="177" t="s">
        <v>50</v>
      </c>
      <c r="C32" s="132">
        <f>[3]BS17A!$D31</f>
        <v>614</v>
      </c>
      <c r="D32" s="26">
        <f>[3]BS17A!$U31</f>
        <v>1170</v>
      </c>
      <c r="E32" s="27">
        <f>[3]BS17A!$V31</f>
        <v>718380</v>
      </c>
      <c r="F32" s="21"/>
    </row>
    <row r="33" spans="1:6" ht="15" customHeight="1" x14ac:dyDescent="0.2">
      <c r="A33" s="180" t="s">
        <v>51</v>
      </c>
      <c r="B33" s="194" t="s">
        <v>52</v>
      </c>
      <c r="C33" s="132">
        <f>[3]BS17A!$D32</f>
        <v>0</v>
      </c>
      <c r="D33" s="26">
        <f>[3]BS17A!$U32</f>
        <v>1080</v>
      </c>
      <c r="E33" s="27">
        <f>[3]BS17A!$V32</f>
        <v>0</v>
      </c>
      <c r="F33" s="21"/>
    </row>
    <row r="34" spans="1:6" ht="15" customHeight="1" x14ac:dyDescent="0.2">
      <c r="A34" s="180" t="s">
        <v>53</v>
      </c>
      <c r="B34" s="177" t="s">
        <v>54</v>
      </c>
      <c r="C34" s="132">
        <f>+[3]BS17A!$D796</f>
        <v>284</v>
      </c>
      <c r="D34" s="26">
        <f>+[3]BS17A!$U796</f>
        <v>2620</v>
      </c>
      <c r="E34" s="27">
        <f>+[3]BS17A!$V796</f>
        <v>744080</v>
      </c>
      <c r="F34" s="21"/>
    </row>
    <row r="35" spans="1:6" ht="15" customHeight="1" x14ac:dyDescent="0.2">
      <c r="A35" s="180" t="s">
        <v>55</v>
      </c>
      <c r="B35" s="194" t="s">
        <v>56</v>
      </c>
      <c r="C35" s="132">
        <f>+[3]BS17A!$D797</f>
        <v>306</v>
      </c>
      <c r="D35" s="26">
        <f>+[3]BS17A!$U797</f>
        <v>2620</v>
      </c>
      <c r="E35" s="27">
        <f>+[3]BS17A!$V797</f>
        <v>801720</v>
      </c>
      <c r="F35" s="21"/>
    </row>
    <row r="36" spans="1:6" ht="15" customHeight="1" x14ac:dyDescent="0.2">
      <c r="A36" s="180" t="s">
        <v>57</v>
      </c>
      <c r="B36" s="194" t="s">
        <v>58</v>
      </c>
      <c r="C36" s="132">
        <f>+[3]BS17A!$D798</f>
        <v>0</v>
      </c>
      <c r="D36" s="26">
        <f>+[3]BS17A!$U798</f>
        <v>10450</v>
      </c>
      <c r="E36" s="27">
        <f>+[3]BS17A!$V798</f>
        <v>0</v>
      </c>
      <c r="F36" s="21"/>
    </row>
    <row r="37" spans="1:6" ht="15" customHeight="1" x14ac:dyDescent="0.2">
      <c r="A37" s="181" t="s">
        <v>59</v>
      </c>
      <c r="B37" s="224" t="s">
        <v>60</v>
      </c>
      <c r="C37" s="142">
        <f>+[3]BS17A!$D799</f>
        <v>43</v>
      </c>
      <c r="D37" s="28">
        <f>+[3]BS17A!$U799</f>
        <v>12230</v>
      </c>
      <c r="E37" s="29">
        <f>+[3]BS17A!$V799</f>
        <v>525890</v>
      </c>
      <c r="F37" s="21"/>
    </row>
    <row r="38" spans="1:6" ht="18" customHeight="1" x14ac:dyDescent="0.2">
      <c r="A38" s="557" t="s">
        <v>61</v>
      </c>
      <c r="B38" s="558"/>
      <c r="C38" s="558"/>
      <c r="D38" s="558"/>
      <c r="E38" s="559"/>
      <c r="F38" s="21"/>
    </row>
    <row r="39" spans="1:6" ht="15" customHeight="1" x14ac:dyDescent="0.2">
      <c r="A39" s="179" t="s">
        <v>62</v>
      </c>
      <c r="B39" s="175" t="s">
        <v>63</v>
      </c>
      <c r="C39" s="135">
        <f>+[3]BS17A!$D801</f>
        <v>0</v>
      </c>
      <c r="D39" s="31">
        <f>+[3]BS17A!$U801</f>
        <v>3450</v>
      </c>
      <c r="E39" s="32">
        <f>+[3]BS17A!$V801</f>
        <v>0</v>
      </c>
      <c r="F39" s="21"/>
    </row>
    <row r="40" spans="1:6" ht="15" customHeight="1" x14ac:dyDescent="0.2">
      <c r="A40" s="181" t="s">
        <v>64</v>
      </c>
      <c r="B40" s="189" t="s">
        <v>65</v>
      </c>
      <c r="C40" s="142">
        <f>+[3]BS17A!$D802</f>
        <v>0</v>
      </c>
      <c r="D40" s="33">
        <f>+[3]BS17A!$U802</f>
        <v>8909</v>
      </c>
      <c r="E40" s="34">
        <f>+[3]BS17A!$V802</f>
        <v>0</v>
      </c>
      <c r="F40" s="21"/>
    </row>
    <row r="41" spans="1:6" ht="18" customHeight="1" x14ac:dyDescent="0.2">
      <c r="A41" s="557" t="s">
        <v>66</v>
      </c>
      <c r="B41" s="558"/>
      <c r="C41" s="558"/>
      <c r="D41" s="558"/>
      <c r="E41" s="559"/>
      <c r="F41" s="21"/>
    </row>
    <row r="42" spans="1:6" ht="15" customHeight="1" x14ac:dyDescent="0.2">
      <c r="A42" s="179" t="s">
        <v>67</v>
      </c>
      <c r="B42" s="196" t="s">
        <v>68</v>
      </c>
      <c r="C42" s="135">
        <f>+[3]BS17A!$D34</f>
        <v>137</v>
      </c>
      <c r="D42" s="31">
        <f>+[3]BS17A!$U34</f>
        <v>3530</v>
      </c>
      <c r="E42" s="32">
        <f>+[3]BS17A!$V34</f>
        <v>483610</v>
      </c>
      <c r="F42" s="21"/>
    </row>
    <row r="43" spans="1:6" ht="15" customHeight="1" x14ac:dyDescent="0.2">
      <c r="A43" s="180" t="s">
        <v>69</v>
      </c>
      <c r="B43" s="177" t="s">
        <v>70</v>
      </c>
      <c r="C43" s="132">
        <f>+[3]BS17A!$D35</f>
        <v>387</v>
      </c>
      <c r="D43" s="26">
        <f>+[3]BS17A!$U35</f>
        <v>1940</v>
      </c>
      <c r="E43" s="27">
        <f>+[3]BS17A!$V35</f>
        <v>750780</v>
      </c>
      <c r="F43" s="21"/>
    </row>
    <row r="44" spans="1:6" ht="15" customHeight="1" x14ac:dyDescent="0.2">
      <c r="A44" s="180" t="s">
        <v>71</v>
      </c>
      <c r="B44" s="177" t="s">
        <v>72</v>
      </c>
      <c r="C44" s="132">
        <f>+[3]BS17A!$D36</f>
        <v>0</v>
      </c>
      <c r="D44" s="26">
        <f>+[3]BS17A!$U36</f>
        <v>1940</v>
      </c>
      <c r="E44" s="27">
        <f>+[3]BS17A!$V36</f>
        <v>0</v>
      </c>
      <c r="F44" s="21"/>
    </row>
    <row r="45" spans="1:6" ht="15" customHeight="1" x14ac:dyDescent="0.2">
      <c r="A45" s="181" t="s">
        <v>73</v>
      </c>
      <c r="B45" s="178" t="s">
        <v>74</v>
      </c>
      <c r="C45" s="142">
        <f>+[3]BS17A!$D37</f>
        <v>416</v>
      </c>
      <c r="D45" s="33">
        <f>+[3]BS17A!$U37</f>
        <v>590</v>
      </c>
      <c r="E45" s="34">
        <f>+[3]BS17A!$V37</f>
        <v>245440</v>
      </c>
      <c r="F45" s="21"/>
    </row>
    <row r="46" spans="1:6" ht="18" customHeight="1" x14ac:dyDescent="0.2">
      <c r="A46" s="557" t="s">
        <v>75</v>
      </c>
      <c r="B46" s="558"/>
      <c r="C46" s="558"/>
      <c r="D46" s="558"/>
      <c r="E46" s="559"/>
      <c r="F46" s="21"/>
    </row>
    <row r="47" spans="1:6" ht="15" customHeight="1" x14ac:dyDescent="0.2">
      <c r="A47" s="179" t="s">
        <v>76</v>
      </c>
      <c r="B47" s="196" t="s">
        <v>77</v>
      </c>
      <c r="C47" s="135">
        <f>+[3]BS17A!$D39</f>
        <v>0</v>
      </c>
      <c r="D47" s="31">
        <f>+[3]BS17A!$U39</f>
        <v>1680</v>
      </c>
      <c r="E47" s="32">
        <f>+[3]BS17A!$V39</f>
        <v>0</v>
      </c>
      <c r="F47" s="21"/>
    </row>
    <row r="48" spans="1:6" ht="15" customHeight="1" x14ac:dyDescent="0.2">
      <c r="A48" s="180" t="s">
        <v>78</v>
      </c>
      <c r="B48" s="177" t="s">
        <v>79</v>
      </c>
      <c r="C48" s="132">
        <f>+[3]BS17A!$D40</f>
        <v>19</v>
      </c>
      <c r="D48" s="26">
        <f>+[3]BS17A!$U40</f>
        <v>1680</v>
      </c>
      <c r="E48" s="27">
        <f>+[3]BS17A!$V40</f>
        <v>31920</v>
      </c>
      <c r="F48" s="21"/>
    </row>
    <row r="49" spans="1:7" ht="15" customHeight="1" x14ac:dyDescent="0.2">
      <c r="A49" s="181" t="s">
        <v>80</v>
      </c>
      <c r="B49" s="178" t="s">
        <v>81</v>
      </c>
      <c r="C49" s="142">
        <f>+[3]BS17A!$D41</f>
        <v>0</v>
      </c>
      <c r="D49" s="33">
        <f>+[3]BS17A!$U41</f>
        <v>970</v>
      </c>
      <c r="E49" s="34">
        <f>+[3]BS17A!$V41</f>
        <v>0</v>
      </c>
      <c r="F49" s="21"/>
    </row>
    <row r="50" spans="1:7" ht="18" customHeight="1" x14ac:dyDescent="0.2">
      <c r="A50" s="35"/>
      <c r="B50" s="157" t="s">
        <v>82</v>
      </c>
      <c r="C50" s="35">
        <f>SUM(C14:C49)</f>
        <v>13844</v>
      </c>
      <c r="D50" s="36"/>
      <c r="E50" s="37">
        <f>SUM(E14:E49)</f>
        <v>99618850</v>
      </c>
      <c r="F50" s="21"/>
    </row>
    <row r="51" spans="1:7" ht="18" customHeight="1" x14ac:dyDescent="0.2">
      <c r="A51" s="38"/>
      <c r="B51" s="38"/>
      <c r="C51" s="38"/>
      <c r="D51" s="39"/>
      <c r="E51" s="40"/>
      <c r="F51" s="21"/>
    </row>
    <row r="52" spans="1:7" ht="12.75" x14ac:dyDescent="0.2">
      <c r="A52" s="21"/>
      <c r="B52" s="21"/>
      <c r="C52" s="21"/>
      <c r="D52" s="21"/>
      <c r="E52" s="21"/>
      <c r="F52" s="41"/>
      <c r="G52" s="42"/>
    </row>
    <row r="53" spans="1:7" ht="12.75" x14ac:dyDescent="0.2">
      <c r="A53" s="557" t="s">
        <v>83</v>
      </c>
      <c r="B53" s="558"/>
      <c r="C53" s="558"/>
      <c r="D53" s="558"/>
      <c r="E53" s="559"/>
      <c r="F53" s="41"/>
      <c r="G53" s="42"/>
    </row>
    <row r="54" spans="1:7" ht="42.75" customHeight="1" x14ac:dyDescent="0.2">
      <c r="A54" s="1" t="s">
        <v>8</v>
      </c>
      <c r="B54" s="1" t="s">
        <v>84</v>
      </c>
      <c r="C54" s="235" t="s">
        <v>10</v>
      </c>
      <c r="D54" s="4"/>
      <c r="E54" s="237" t="s">
        <v>12</v>
      </c>
      <c r="F54" s="21"/>
    </row>
    <row r="55" spans="1:7" ht="18" customHeight="1" x14ac:dyDescent="0.2">
      <c r="A55" s="239" t="s">
        <v>85</v>
      </c>
      <c r="B55" s="214" t="s">
        <v>86</v>
      </c>
      <c r="C55" s="68">
        <f>+[3]BS17!$D12</f>
        <v>58548</v>
      </c>
      <c r="D55" s="44"/>
      <c r="E55" s="45">
        <f>+E56+E57+E58+E59+E60+E61+E65+E66+E67</f>
        <v>76667270</v>
      </c>
      <c r="F55" s="21"/>
    </row>
    <row r="56" spans="1:7" ht="15" customHeight="1" x14ac:dyDescent="0.2">
      <c r="A56" s="212" t="s">
        <v>87</v>
      </c>
      <c r="B56" s="188" t="s">
        <v>88</v>
      </c>
      <c r="C56" s="172">
        <f>+[3]BS17!$D13</f>
        <v>22951</v>
      </c>
      <c r="D56" s="46"/>
      <c r="E56" s="47">
        <f>+[3]BS17A!V83</f>
        <v>22973930</v>
      </c>
      <c r="F56" s="21"/>
    </row>
    <row r="57" spans="1:7" ht="15" customHeight="1" x14ac:dyDescent="0.2">
      <c r="A57" s="180" t="s">
        <v>89</v>
      </c>
      <c r="B57" s="176" t="s">
        <v>90</v>
      </c>
      <c r="C57" s="132">
        <f>+[3]BS17!$D14</f>
        <v>26112</v>
      </c>
      <c r="D57" s="49"/>
      <c r="E57" s="50">
        <f>+[3]BS17A!V174</f>
        <v>29481090</v>
      </c>
      <c r="F57" s="21"/>
    </row>
    <row r="58" spans="1:7" ht="15" customHeight="1" x14ac:dyDescent="0.2">
      <c r="A58" s="180" t="s">
        <v>91</v>
      </c>
      <c r="B58" s="176" t="s">
        <v>92</v>
      </c>
      <c r="C58" s="132">
        <f>+[3]BS17!$D15</f>
        <v>1080</v>
      </c>
      <c r="D58" s="49"/>
      <c r="E58" s="50">
        <f>+[3]BS17A!V243</f>
        <v>3638270</v>
      </c>
      <c r="F58" s="21"/>
    </row>
    <row r="59" spans="1:7" ht="15" customHeight="1" x14ac:dyDescent="0.2">
      <c r="A59" s="180" t="s">
        <v>93</v>
      </c>
      <c r="B59" s="176" t="s">
        <v>94</v>
      </c>
      <c r="C59" s="132">
        <f>+[3]BS17!$D16</f>
        <v>0</v>
      </c>
      <c r="D59" s="49"/>
      <c r="E59" s="50">
        <f>+[3]BS17A!V289</f>
        <v>0</v>
      </c>
      <c r="F59" s="21"/>
    </row>
    <row r="60" spans="1:7" ht="15" customHeight="1" x14ac:dyDescent="0.2">
      <c r="A60" s="207" t="s">
        <v>95</v>
      </c>
      <c r="B60" s="195" t="s">
        <v>96</v>
      </c>
      <c r="C60" s="156">
        <f>+[3]BS17!$D17</f>
        <v>1448</v>
      </c>
      <c r="D60" s="51"/>
      <c r="E60" s="52">
        <f>+[3]BS17A!V295</f>
        <v>6656480</v>
      </c>
      <c r="F60" s="21"/>
    </row>
    <row r="61" spans="1:7" ht="15" customHeight="1" x14ac:dyDescent="0.2">
      <c r="A61" s="179" t="s">
        <v>97</v>
      </c>
      <c r="B61" s="215" t="s">
        <v>98</v>
      </c>
      <c r="C61" s="158">
        <f>+[3]BS17!$D18</f>
        <v>4378</v>
      </c>
      <c r="D61" s="53"/>
      <c r="E61" s="54">
        <f>SUM(E62:E64)</f>
        <v>10956040</v>
      </c>
      <c r="F61" s="21"/>
    </row>
    <row r="62" spans="1:7" ht="15" customHeight="1" x14ac:dyDescent="0.2">
      <c r="A62" s="218"/>
      <c r="B62" s="196" t="s">
        <v>99</v>
      </c>
      <c r="C62" s="135">
        <f>+[3]BS17!$D19</f>
        <v>3662</v>
      </c>
      <c r="D62" s="55"/>
      <c r="E62" s="56">
        <f>+[3]BS17A!V362</f>
        <v>8173360</v>
      </c>
      <c r="F62" s="21"/>
    </row>
    <row r="63" spans="1:7" ht="15" customHeight="1" x14ac:dyDescent="0.2">
      <c r="A63" s="218"/>
      <c r="B63" s="176" t="s">
        <v>100</v>
      </c>
      <c r="C63" s="132">
        <f>+[3]BS17!$D20</f>
        <v>57</v>
      </c>
      <c r="D63" s="49"/>
      <c r="E63" s="50">
        <f>+[3]BS17A!V405</f>
        <v>155940</v>
      </c>
      <c r="F63" s="21"/>
    </row>
    <row r="64" spans="1:7" ht="15" customHeight="1" x14ac:dyDescent="0.2">
      <c r="A64" s="219"/>
      <c r="B64" s="178" t="s">
        <v>101</v>
      </c>
      <c r="C64" s="142">
        <f>+[3]BS17!$D21</f>
        <v>659</v>
      </c>
      <c r="D64" s="57"/>
      <c r="E64" s="58">
        <f>+[3]BS17A!V428</f>
        <v>2626740</v>
      </c>
      <c r="F64" s="21"/>
    </row>
    <row r="65" spans="1:7" ht="15" customHeight="1" x14ac:dyDescent="0.2">
      <c r="A65" s="212" t="s">
        <v>102</v>
      </c>
      <c r="B65" s="211" t="s">
        <v>103</v>
      </c>
      <c r="C65" s="172">
        <f>+[3]BS17!$D22</f>
        <v>0</v>
      </c>
      <c r="D65" s="46"/>
      <c r="E65" s="47">
        <f>+[3]BS17A!V446</f>
        <v>0</v>
      </c>
      <c r="F65" s="21"/>
    </row>
    <row r="66" spans="1:7" ht="15" customHeight="1" x14ac:dyDescent="0.2">
      <c r="A66" s="180" t="s">
        <v>104</v>
      </c>
      <c r="B66" s="176" t="s">
        <v>105</v>
      </c>
      <c r="C66" s="132">
        <f>+[3]BS17!$D23</f>
        <v>47</v>
      </c>
      <c r="D66" s="49"/>
      <c r="E66" s="50">
        <f>+[3]BS17A!V456</f>
        <v>117250</v>
      </c>
      <c r="F66" s="21"/>
    </row>
    <row r="67" spans="1:7" ht="15" customHeight="1" x14ac:dyDescent="0.2">
      <c r="A67" s="207" t="s">
        <v>106</v>
      </c>
      <c r="B67" s="195" t="s">
        <v>107</v>
      </c>
      <c r="C67" s="156">
        <f>+[3]BS17!$D24</f>
        <v>2532</v>
      </c>
      <c r="D67" s="51"/>
      <c r="E67" s="52">
        <f>+[3]BS17A!V500</f>
        <v>2844210</v>
      </c>
      <c r="F67" s="21"/>
    </row>
    <row r="68" spans="1:7" ht="15" customHeight="1" x14ac:dyDescent="0.2">
      <c r="A68" s="220" t="s">
        <v>108</v>
      </c>
      <c r="B68" s="210" t="s">
        <v>109</v>
      </c>
      <c r="C68" s="173">
        <f>+[3]BS17!$D25</f>
        <v>3674</v>
      </c>
      <c r="D68" s="59"/>
      <c r="E68" s="60">
        <f>SUM(E69:E74)</f>
        <v>56676490</v>
      </c>
      <c r="F68" s="21"/>
    </row>
    <row r="69" spans="1:7" ht="15" customHeight="1" x14ac:dyDescent="0.2">
      <c r="A69" s="180" t="s">
        <v>110</v>
      </c>
      <c r="B69" s="176" t="s">
        <v>111</v>
      </c>
      <c r="C69" s="132">
        <f>+[3]BS17!$D26</f>
        <v>2494</v>
      </c>
      <c r="D69" s="49"/>
      <c r="E69" s="50">
        <f>+[3]BS17A!V535</f>
        <v>18964550</v>
      </c>
      <c r="F69" s="21"/>
    </row>
    <row r="70" spans="1:7" ht="15" customHeight="1" x14ac:dyDescent="0.2">
      <c r="A70" s="180" t="s">
        <v>112</v>
      </c>
      <c r="B70" s="176" t="s">
        <v>113</v>
      </c>
      <c r="C70" s="132">
        <f>+[3]BS17!$D27</f>
        <v>1</v>
      </c>
      <c r="D70" s="49"/>
      <c r="E70" s="50">
        <f>+[3]BS17A!V590</f>
        <v>15750</v>
      </c>
      <c r="F70" s="21"/>
    </row>
    <row r="71" spans="1:7" ht="15" customHeight="1" x14ac:dyDescent="0.2">
      <c r="A71" s="180" t="s">
        <v>114</v>
      </c>
      <c r="B71" s="176" t="s">
        <v>115</v>
      </c>
      <c r="C71" s="132">
        <f>+[3]BS17!$D28</f>
        <v>581</v>
      </c>
      <c r="D71" s="49"/>
      <c r="E71" s="50">
        <f>+[3]BS17A!V615</f>
        <v>28543280</v>
      </c>
      <c r="F71" s="21"/>
    </row>
    <row r="72" spans="1:7" ht="15" customHeight="1" x14ac:dyDescent="0.2">
      <c r="A72" s="180" t="s">
        <v>116</v>
      </c>
      <c r="B72" s="176" t="s">
        <v>117</v>
      </c>
      <c r="C72" s="132">
        <f>+[3]BS17!$D30+[3]BS17!$D32</f>
        <v>399</v>
      </c>
      <c r="D72" s="49"/>
      <c r="E72" s="50">
        <f>+[3]BS17A!V633-[3]BS17A!V634</f>
        <v>8169850</v>
      </c>
      <c r="F72" s="21"/>
    </row>
    <row r="73" spans="1:7" ht="15" customHeight="1" x14ac:dyDescent="0.2">
      <c r="A73" s="221"/>
      <c r="B73" s="176" t="s">
        <v>118</v>
      </c>
      <c r="C73" s="132">
        <f>+[3]BS17!$D31</f>
        <v>199</v>
      </c>
      <c r="D73" s="49"/>
      <c r="E73" s="50">
        <f>+[3]BS17A!V634</f>
        <v>983060</v>
      </c>
      <c r="F73" s="21"/>
    </row>
    <row r="74" spans="1:7" ht="15" customHeight="1" x14ac:dyDescent="0.2">
      <c r="A74" s="222" t="s">
        <v>119</v>
      </c>
      <c r="B74" s="216" t="s">
        <v>120</v>
      </c>
      <c r="C74" s="163">
        <f>+[3]BS17!$D33</f>
        <v>0</v>
      </c>
      <c r="D74" s="139"/>
      <c r="E74" s="140">
        <f>+[3]BS17A!V654</f>
        <v>0</v>
      </c>
      <c r="F74" s="21"/>
    </row>
    <row r="75" spans="1:7" ht="15" customHeight="1" x14ac:dyDescent="0.2">
      <c r="A75" s="223" t="s">
        <v>121</v>
      </c>
      <c r="B75" s="217" t="s">
        <v>122</v>
      </c>
      <c r="C75" s="174">
        <f>+[3]BS17!$D34</f>
        <v>0</v>
      </c>
      <c r="D75" s="61"/>
      <c r="E75" s="62">
        <f>+[3]BS17A!V783</f>
        <v>0</v>
      </c>
      <c r="F75" s="21"/>
    </row>
    <row r="76" spans="1:7" ht="15" customHeight="1" x14ac:dyDescent="0.2">
      <c r="A76" s="182"/>
      <c r="B76" s="238" t="s">
        <v>123</v>
      </c>
      <c r="C76" s="68">
        <f>+C55+C68+C75</f>
        <v>62222</v>
      </c>
      <c r="D76" s="44"/>
      <c r="E76" s="64">
        <f>+E55+E68+E75</f>
        <v>133343760</v>
      </c>
      <c r="F76" s="21"/>
    </row>
    <row r="77" spans="1:7" ht="12.75" x14ac:dyDescent="0.2">
      <c r="A77" s="21"/>
      <c r="B77" s="21"/>
      <c r="C77" s="21"/>
      <c r="D77" s="21"/>
      <c r="E77" s="21"/>
      <c r="F77" s="41"/>
      <c r="G77" s="42"/>
    </row>
    <row r="78" spans="1:7" ht="12.75" x14ac:dyDescent="0.2">
      <c r="A78" s="21"/>
      <c r="B78" s="21"/>
      <c r="C78" s="21"/>
      <c r="D78" s="21"/>
      <c r="E78" s="21"/>
      <c r="F78" s="41"/>
      <c r="G78" s="42"/>
    </row>
    <row r="79" spans="1:7" ht="12.75" x14ac:dyDescent="0.2">
      <c r="A79" s="549" t="s">
        <v>124</v>
      </c>
      <c r="B79" s="550"/>
      <c r="C79" s="550"/>
      <c r="D79" s="550"/>
      <c r="E79" s="551"/>
      <c r="F79" s="41"/>
      <c r="G79" s="42"/>
    </row>
    <row r="80" spans="1:7" ht="45" customHeight="1" x14ac:dyDescent="0.2">
      <c r="A80" s="1" t="s">
        <v>8</v>
      </c>
      <c r="B80" s="236" t="s">
        <v>9</v>
      </c>
      <c r="C80" s="2" t="s">
        <v>10</v>
      </c>
      <c r="D80" s="4"/>
      <c r="E80" s="5" t="s">
        <v>12</v>
      </c>
      <c r="F80" s="41"/>
      <c r="G80" s="42"/>
    </row>
    <row r="81" spans="1:6" ht="15" customHeight="1" x14ac:dyDescent="0.2">
      <c r="A81" s="213" t="s">
        <v>125</v>
      </c>
      <c r="B81" s="188" t="s">
        <v>126</v>
      </c>
      <c r="C81" s="135">
        <f>+[3]BS17!D49</f>
        <v>0</v>
      </c>
      <c r="D81" s="46"/>
      <c r="E81" s="65">
        <f>+SUM([3]BS17A!V673+[3]BS17A!V719)</f>
        <v>0</v>
      </c>
      <c r="F81" s="21"/>
    </row>
    <row r="82" spans="1:6" ht="15" customHeight="1" x14ac:dyDescent="0.2">
      <c r="A82" s="202">
        <v>2001</v>
      </c>
      <c r="B82" s="176" t="s">
        <v>127</v>
      </c>
      <c r="C82" s="132">
        <f>+[3]BS17!E130</f>
        <v>1581</v>
      </c>
      <c r="D82" s="49"/>
      <c r="E82" s="66">
        <f>+[3]BS17A!V1574</f>
        <v>12771680</v>
      </c>
      <c r="F82" s="21"/>
    </row>
    <row r="83" spans="1:6" ht="15" customHeight="1" x14ac:dyDescent="0.2">
      <c r="A83" s="207" t="s">
        <v>128</v>
      </c>
      <c r="B83" s="195" t="s">
        <v>129</v>
      </c>
      <c r="C83" s="156">
        <f>+[3]BS17A!D1849</f>
        <v>59</v>
      </c>
      <c r="D83" s="51"/>
      <c r="E83" s="67">
        <f>+[3]BS17A!V1849</f>
        <v>4122950</v>
      </c>
      <c r="F83" s="21"/>
    </row>
    <row r="84" spans="1:6" ht="17.25" customHeight="1" x14ac:dyDescent="0.2">
      <c r="A84" s="182"/>
      <c r="B84" s="238" t="s">
        <v>130</v>
      </c>
      <c r="C84" s="68">
        <f>+SUM(C81:C83)</f>
        <v>1640</v>
      </c>
      <c r="D84" s="44"/>
      <c r="E84" s="69">
        <f>SUM(E81:E83)</f>
        <v>16894630</v>
      </c>
      <c r="F84" s="21"/>
    </row>
    <row r="85" spans="1:6" ht="12.75" x14ac:dyDescent="0.2">
      <c r="A85" s="21"/>
      <c r="B85" s="21"/>
      <c r="C85" s="21"/>
      <c r="D85" s="21"/>
      <c r="E85" s="21"/>
      <c r="F85" s="21"/>
    </row>
    <row r="86" spans="1:6" ht="12.75" x14ac:dyDescent="0.2">
      <c r="A86" s="21"/>
      <c r="B86" s="21"/>
      <c r="C86" s="21"/>
      <c r="D86" s="21"/>
      <c r="E86" s="21"/>
      <c r="F86" s="18"/>
    </row>
    <row r="87" spans="1:6" ht="12.75" x14ac:dyDescent="0.15">
      <c r="A87" s="567" t="s">
        <v>131</v>
      </c>
      <c r="B87" s="568"/>
      <c r="C87" s="568"/>
      <c r="D87" s="568"/>
      <c r="E87" s="568"/>
      <c r="F87" s="569"/>
    </row>
    <row r="88" spans="1:6" ht="33.75" customHeight="1" x14ac:dyDescent="0.15">
      <c r="A88" s="570" t="s">
        <v>8</v>
      </c>
      <c r="B88" s="570" t="s">
        <v>9</v>
      </c>
      <c r="C88" s="552" t="s">
        <v>10</v>
      </c>
      <c r="D88" s="553"/>
      <c r="E88" s="553"/>
      <c r="F88" s="554"/>
    </row>
    <row r="89" spans="1:6" ht="45" customHeight="1" x14ac:dyDescent="0.15">
      <c r="A89" s="571"/>
      <c r="B89" s="571"/>
      <c r="C89" s="236" t="s">
        <v>132</v>
      </c>
      <c r="D89" s="7" t="s">
        <v>133</v>
      </c>
      <c r="E89" s="3" t="s">
        <v>134</v>
      </c>
      <c r="F89" s="237" t="s">
        <v>12</v>
      </c>
    </row>
    <row r="90" spans="1:6" ht="15" customHeight="1" x14ac:dyDescent="0.2">
      <c r="A90" s="179" t="s">
        <v>135</v>
      </c>
      <c r="B90" s="175" t="s">
        <v>136</v>
      </c>
      <c r="C90" s="166">
        <f>+[3]BS17!F68</f>
        <v>0</v>
      </c>
      <c r="D90" s="70">
        <f>+[3]BS17!G68</f>
        <v>0</v>
      </c>
      <c r="E90" s="71">
        <f>+[3]BS17!H68</f>
        <v>0</v>
      </c>
      <c r="F90" s="72">
        <f>[3]BS17A!V811</f>
        <v>0</v>
      </c>
    </row>
    <row r="91" spans="1:6" ht="15" customHeight="1" x14ac:dyDescent="0.2">
      <c r="A91" s="180" t="s">
        <v>137</v>
      </c>
      <c r="B91" s="176" t="s">
        <v>138</v>
      </c>
      <c r="C91" s="167">
        <f>+[3]BS17!F69</f>
        <v>126</v>
      </c>
      <c r="D91" s="73">
        <f>+[3]BS17!G69</f>
        <v>0</v>
      </c>
      <c r="E91" s="74">
        <f>+[3]BS17!H69</f>
        <v>0</v>
      </c>
      <c r="F91" s="75">
        <f>[3]BS17A!V882</f>
        <v>26397670</v>
      </c>
    </row>
    <row r="92" spans="1:6" ht="15" customHeight="1" x14ac:dyDescent="0.2">
      <c r="A92" s="180" t="s">
        <v>139</v>
      </c>
      <c r="B92" s="176" t="s">
        <v>140</v>
      </c>
      <c r="C92" s="167">
        <f>+[3]BS17!F70</f>
        <v>15</v>
      </c>
      <c r="D92" s="73">
        <f>+[3]BS17!G70</f>
        <v>0</v>
      </c>
      <c r="E92" s="74">
        <f>+[3]BS17!H70</f>
        <v>0</v>
      </c>
      <c r="F92" s="75">
        <f>[3]BS17A!V961</f>
        <v>1157100</v>
      </c>
    </row>
    <row r="93" spans="1:6" ht="15" customHeight="1" x14ac:dyDescent="0.2">
      <c r="A93" s="180" t="s">
        <v>141</v>
      </c>
      <c r="B93" s="176" t="s">
        <v>142</v>
      </c>
      <c r="C93" s="167">
        <f>+[3]BS17!F71</f>
        <v>5</v>
      </c>
      <c r="D93" s="73">
        <f>+[3]BS17!G71</f>
        <v>0</v>
      </c>
      <c r="E93" s="74">
        <f>+[3]BS17!H71</f>
        <v>0</v>
      </c>
      <c r="F93" s="75">
        <f>[3]BS17A!V1037</f>
        <v>881090</v>
      </c>
    </row>
    <row r="94" spans="1:6" ht="15" customHeight="1" x14ac:dyDescent="0.2">
      <c r="A94" s="180" t="s">
        <v>143</v>
      </c>
      <c r="B94" s="176" t="s">
        <v>144</v>
      </c>
      <c r="C94" s="167">
        <f>+[3]BS17!F72</f>
        <v>75</v>
      </c>
      <c r="D94" s="73">
        <f>+[3]BS17!G72</f>
        <v>3</v>
      </c>
      <c r="E94" s="74">
        <f>+[3]BS17!H72</f>
        <v>0</v>
      </c>
      <c r="F94" s="75">
        <f>[3]BS17A!V1098</f>
        <v>3950965</v>
      </c>
    </row>
    <row r="95" spans="1:6" ht="15" customHeight="1" x14ac:dyDescent="0.2">
      <c r="A95" s="180" t="s">
        <v>145</v>
      </c>
      <c r="B95" s="176" t="s">
        <v>146</v>
      </c>
      <c r="C95" s="167">
        <f>+[3]BS17!F73</f>
        <v>137</v>
      </c>
      <c r="D95" s="73">
        <f>+[3]BS17!G73</f>
        <v>3</v>
      </c>
      <c r="E95" s="74">
        <f>+[3]BS17!H73</f>
        <v>0</v>
      </c>
      <c r="F95" s="75">
        <f>[3]BS17A!V1166</f>
        <v>3310750</v>
      </c>
    </row>
    <row r="96" spans="1:6" ht="15" customHeight="1" x14ac:dyDescent="0.2">
      <c r="A96" s="180" t="s">
        <v>147</v>
      </c>
      <c r="B96" s="176" t="s">
        <v>148</v>
      </c>
      <c r="C96" s="167">
        <f>+[3]BS17!F74</f>
        <v>1</v>
      </c>
      <c r="D96" s="73">
        <f>+[3]BS17!G74</f>
        <v>0</v>
      </c>
      <c r="E96" s="74">
        <f>+[3]BS17!H74</f>
        <v>0</v>
      </c>
      <c r="F96" s="75">
        <f>[3]BS17A!V1221</f>
        <v>75630</v>
      </c>
    </row>
    <row r="97" spans="1:6" ht="15" customHeight="1" x14ac:dyDescent="0.2">
      <c r="A97" s="180" t="s">
        <v>149</v>
      </c>
      <c r="B97" s="176" t="s">
        <v>150</v>
      </c>
      <c r="C97" s="167">
        <f>+[3]BS17!F75</f>
        <v>1</v>
      </c>
      <c r="D97" s="73">
        <f>+[3]BS17!G75</f>
        <v>0</v>
      </c>
      <c r="E97" s="74">
        <f>+[3]BS17!H75</f>
        <v>0</v>
      </c>
      <c r="F97" s="75">
        <f>[3]BS17A!V1287</f>
        <v>168160</v>
      </c>
    </row>
    <row r="98" spans="1:6" ht="15" customHeight="1" x14ac:dyDescent="0.2">
      <c r="A98" s="180" t="s">
        <v>151</v>
      </c>
      <c r="B98" s="176" t="s">
        <v>152</v>
      </c>
      <c r="C98" s="167">
        <f>+[3]BS17!F76</f>
        <v>168</v>
      </c>
      <c r="D98" s="73">
        <f>+[3]BS17!G76</f>
        <v>14</v>
      </c>
      <c r="E98" s="74">
        <f>+[3]BS17!H76</f>
        <v>0</v>
      </c>
      <c r="F98" s="75">
        <f>[3]BS17A!V1357</f>
        <v>38494635</v>
      </c>
    </row>
    <row r="99" spans="1:6" ht="15" customHeight="1" x14ac:dyDescent="0.2">
      <c r="A99" s="180" t="s">
        <v>153</v>
      </c>
      <c r="B99" s="176" t="s">
        <v>154</v>
      </c>
      <c r="C99" s="167">
        <f>+[3]BS17!F77</f>
        <v>9</v>
      </c>
      <c r="D99" s="73">
        <f>+[3]BS17!G77</f>
        <v>2</v>
      </c>
      <c r="E99" s="74">
        <f>+[3]BS17!H77</f>
        <v>0</v>
      </c>
      <c r="F99" s="75">
        <f>[3]BS17A!V1441</f>
        <v>659990</v>
      </c>
    </row>
    <row r="100" spans="1:6" ht="15" customHeight="1" x14ac:dyDescent="0.2">
      <c r="A100" s="180" t="s">
        <v>155</v>
      </c>
      <c r="B100" s="176" t="s">
        <v>156</v>
      </c>
      <c r="C100" s="167">
        <f>+[3]BS17!F78</f>
        <v>20</v>
      </c>
      <c r="D100" s="73">
        <f>+[3]BS17!G78</f>
        <v>1</v>
      </c>
      <c r="E100" s="74">
        <f>+[3]BS17!H78</f>
        <v>0</v>
      </c>
      <c r="F100" s="75">
        <f>[3]BS17A!V1489</f>
        <v>3666510</v>
      </c>
    </row>
    <row r="101" spans="1:6" ht="15" customHeight="1" x14ac:dyDescent="0.2">
      <c r="A101" s="180" t="s">
        <v>157</v>
      </c>
      <c r="B101" s="176" t="s">
        <v>158</v>
      </c>
      <c r="C101" s="167">
        <f>+[3]BS17!F79</f>
        <v>8</v>
      </c>
      <c r="D101" s="73">
        <f>+[3]BS17!G79</f>
        <v>1</v>
      </c>
      <c r="E101" s="74">
        <f>+[3]BS17!H79</f>
        <v>0</v>
      </c>
      <c r="F101" s="75">
        <f>[3]BS17A!V1592</f>
        <v>1374135</v>
      </c>
    </row>
    <row r="102" spans="1:6" ht="15" customHeight="1" x14ac:dyDescent="0.2">
      <c r="A102" s="207" t="s">
        <v>159</v>
      </c>
      <c r="B102" s="195" t="s">
        <v>160</v>
      </c>
      <c r="C102" s="168">
        <f>+[3]BS17!F80</f>
        <v>36</v>
      </c>
      <c r="D102" s="76">
        <f>+[3]BS17!G80</f>
        <v>7</v>
      </c>
      <c r="E102" s="77">
        <f>+[3]BS17!H80</f>
        <v>0</v>
      </c>
      <c r="F102" s="78">
        <f>[3]BS17A!V1597</f>
        <v>6419610</v>
      </c>
    </row>
    <row r="103" spans="1:6" ht="15" customHeight="1" x14ac:dyDescent="0.2">
      <c r="A103" s="179" t="s">
        <v>161</v>
      </c>
      <c r="B103" s="175" t="s">
        <v>162</v>
      </c>
      <c r="C103" s="166">
        <f>+[3]BS17!F81</f>
        <v>76</v>
      </c>
      <c r="D103" s="70">
        <f>+[3]BS17!G81</f>
        <v>0</v>
      </c>
      <c r="E103" s="71">
        <f>+[3]BS17!H81</f>
        <v>0</v>
      </c>
      <c r="F103" s="72">
        <f>+[3]BS17A!V1631</f>
        <v>8781000</v>
      </c>
    </row>
    <row r="104" spans="1:6" ht="15" customHeight="1" x14ac:dyDescent="0.2">
      <c r="A104" s="180"/>
      <c r="B104" s="176" t="s">
        <v>163</v>
      </c>
      <c r="C104" s="167">
        <f>+[3]BS17A!D1635</f>
        <v>0</v>
      </c>
      <c r="D104" s="73">
        <f>+[3]BS17A!F1635</f>
        <v>0</v>
      </c>
      <c r="E104" s="74">
        <f>+[3]BS17A!G1635</f>
        <v>0</v>
      </c>
      <c r="F104" s="75">
        <f>+[3]BS17A!V1635</f>
        <v>0</v>
      </c>
    </row>
    <row r="105" spans="1:6" ht="15" customHeight="1" x14ac:dyDescent="0.2">
      <c r="A105" s="180"/>
      <c r="B105" s="176" t="s">
        <v>164</v>
      </c>
      <c r="C105" s="167">
        <f>+[3]BS17A!D1634</f>
        <v>52</v>
      </c>
      <c r="D105" s="73">
        <f>+[3]BS17A!F1634</f>
        <v>0</v>
      </c>
      <c r="E105" s="74">
        <f>+[3]BS17A!G1634</f>
        <v>0</v>
      </c>
      <c r="F105" s="75">
        <f>+[3]BS17A!V1634</f>
        <v>6509880</v>
      </c>
    </row>
    <row r="106" spans="1:6" ht="15" customHeight="1" x14ac:dyDescent="0.2">
      <c r="A106" s="181"/>
      <c r="B106" s="189" t="s">
        <v>165</v>
      </c>
      <c r="C106" s="169">
        <f>+[3]BS17A!D1632+[3]BS17A!D1633</f>
        <v>24</v>
      </c>
      <c r="D106" s="80">
        <f>+[3]BS17A!F1632+[3]BS17A!F1633</f>
        <v>0</v>
      </c>
      <c r="E106" s="81">
        <f>+[3]BS17A!G1632+[3]BS17A!G1633</f>
        <v>0</v>
      </c>
      <c r="F106" s="82">
        <f>+[3]BS17A!V1632+[3]BS17A!V1633</f>
        <v>2271120</v>
      </c>
    </row>
    <row r="107" spans="1:6" ht="15" customHeight="1" x14ac:dyDescent="0.2">
      <c r="A107" s="212" t="s">
        <v>166</v>
      </c>
      <c r="B107" s="211" t="s">
        <v>167</v>
      </c>
      <c r="C107" s="170">
        <f>+[3]BS17!F82</f>
        <v>44</v>
      </c>
      <c r="D107" s="83">
        <f>+[3]BS17!G82</f>
        <v>1</v>
      </c>
      <c r="E107" s="84">
        <f>+[3]BS17!H82</f>
        <v>0</v>
      </c>
      <c r="F107" s="85">
        <f>+[3]BS17A!V1639</f>
        <v>8700820</v>
      </c>
    </row>
    <row r="108" spans="1:6" ht="15" customHeight="1" x14ac:dyDescent="0.2">
      <c r="A108" s="208">
        <v>2106</v>
      </c>
      <c r="B108" s="189" t="s">
        <v>168</v>
      </c>
      <c r="C108" s="169">
        <f>[3]BS17A!D1845</f>
        <v>2</v>
      </c>
      <c r="D108" s="80">
        <f>[3]BS17A!F1845</f>
        <v>0</v>
      </c>
      <c r="E108" s="81">
        <f>[3]BS17A!G1845</f>
        <v>0</v>
      </c>
      <c r="F108" s="82">
        <f>+[3]BS17A!V1845</f>
        <v>104720</v>
      </c>
    </row>
    <row r="109" spans="1:6" ht="15" customHeight="1" x14ac:dyDescent="0.2">
      <c r="A109" s="187"/>
      <c r="B109" s="186" t="s">
        <v>169</v>
      </c>
      <c r="C109" s="171">
        <f>SUM(C90:C108)-C103</f>
        <v>723</v>
      </c>
      <c r="D109" s="87">
        <f>SUM(D90:D108)-D103</f>
        <v>32</v>
      </c>
      <c r="E109" s="88">
        <f>+SUM(E90:E103)+E107+E108</f>
        <v>0</v>
      </c>
      <c r="F109" s="89">
        <f>+SUM(F90:F103)+F107+F108</f>
        <v>104142785</v>
      </c>
    </row>
    <row r="110" spans="1:6" ht="12.75" x14ac:dyDescent="0.2">
      <c r="A110" s="21"/>
      <c r="B110" s="21"/>
      <c r="C110" s="21"/>
      <c r="D110" s="21"/>
      <c r="E110" s="21"/>
      <c r="F110" s="18"/>
    </row>
    <row r="111" spans="1:6" ht="12.75" x14ac:dyDescent="0.2">
      <c r="A111" s="21"/>
      <c r="B111" s="21"/>
      <c r="C111" s="21"/>
      <c r="D111" s="21"/>
      <c r="E111" s="21"/>
      <c r="F111" s="18"/>
    </row>
    <row r="112" spans="1:6" ht="12.75" x14ac:dyDescent="0.2">
      <c r="A112" s="549" t="s">
        <v>170</v>
      </c>
      <c r="B112" s="550"/>
      <c r="C112" s="550"/>
      <c r="D112" s="550"/>
      <c r="E112" s="551"/>
      <c r="F112" s="18"/>
    </row>
    <row r="113" spans="1:6" ht="49.5" customHeight="1" x14ac:dyDescent="0.2">
      <c r="A113" s="1" t="s">
        <v>8</v>
      </c>
      <c r="B113" s="1" t="s">
        <v>9</v>
      </c>
      <c r="C113" s="235" t="s">
        <v>10</v>
      </c>
      <c r="D113" s="3" t="s">
        <v>11</v>
      </c>
      <c r="E113" s="237" t="s">
        <v>12</v>
      </c>
      <c r="F113" s="18"/>
    </row>
    <row r="114" spans="1:6" ht="15" customHeight="1" x14ac:dyDescent="0.2">
      <c r="A114" s="179" t="s">
        <v>171</v>
      </c>
      <c r="B114" s="175" t="s">
        <v>172</v>
      </c>
      <c r="C114" s="135">
        <f>+[3]BS17A!D1636</f>
        <v>81</v>
      </c>
      <c r="D114" s="90">
        <f>+[3]BS17A!U1636</f>
        <v>125180</v>
      </c>
      <c r="E114" s="91">
        <f>+[3]BS17A!V1636</f>
        <v>10139580</v>
      </c>
      <c r="F114" s="21"/>
    </row>
    <row r="115" spans="1:6" ht="15" customHeight="1" x14ac:dyDescent="0.2">
      <c r="A115" s="181" t="s">
        <v>173</v>
      </c>
      <c r="B115" s="205" t="s">
        <v>174</v>
      </c>
      <c r="C115" s="156">
        <f>+[3]BS17A!D1637</f>
        <v>3</v>
      </c>
      <c r="D115" s="92">
        <f>+[3]BS17A!U1637</f>
        <v>131720</v>
      </c>
      <c r="E115" s="67">
        <f>+[3]BS17A!V1637</f>
        <v>395160</v>
      </c>
      <c r="F115" s="21"/>
    </row>
    <row r="116" spans="1:6" ht="15" customHeight="1" x14ac:dyDescent="0.2">
      <c r="A116" s="68"/>
      <c r="B116" s="141" t="s">
        <v>175</v>
      </c>
      <c r="C116" s="68">
        <f>SUM(C114:C115)</f>
        <v>84</v>
      </c>
      <c r="D116" s="44"/>
      <c r="E116" s="69">
        <f>SUM(E114:E115)</f>
        <v>10534740</v>
      </c>
      <c r="F116" s="21"/>
    </row>
    <row r="117" spans="1:6" ht="12.75" x14ac:dyDescent="0.2">
      <c r="A117" s="21"/>
      <c r="B117" s="21"/>
      <c r="C117" s="21"/>
      <c r="D117" s="21"/>
      <c r="E117" s="21"/>
      <c r="F117" s="21"/>
    </row>
    <row r="118" spans="1:6" ht="12.75" x14ac:dyDescent="0.2">
      <c r="A118" s="21"/>
      <c r="B118" s="21"/>
      <c r="C118" s="21"/>
      <c r="D118" s="21"/>
      <c r="E118" s="21"/>
      <c r="F118" s="18"/>
    </row>
    <row r="119" spans="1:6" ht="12.75" x14ac:dyDescent="0.2">
      <c r="A119" s="566" t="s">
        <v>176</v>
      </c>
      <c r="B119" s="566"/>
      <c r="C119" s="566"/>
      <c r="D119" s="21"/>
      <c r="E119" s="21"/>
      <c r="F119" s="18"/>
    </row>
    <row r="120" spans="1:6" ht="38.25" customHeight="1" x14ac:dyDescent="0.2">
      <c r="A120" s="1" t="s">
        <v>8</v>
      </c>
      <c r="B120" s="1" t="s">
        <v>10</v>
      </c>
      <c r="C120" s="1" t="s">
        <v>12</v>
      </c>
      <c r="D120" s="21"/>
      <c r="E120" s="21"/>
      <c r="F120" s="21"/>
    </row>
    <row r="121" spans="1:6" ht="15" customHeight="1" x14ac:dyDescent="0.2">
      <c r="A121" s="93" t="s">
        <v>177</v>
      </c>
      <c r="B121" s="94" t="s">
        <v>178</v>
      </c>
      <c r="C121" s="95">
        <f>+[3]BS17A!V1871+[3]BS17A!V1889+[3]BS17A!V1914</f>
        <v>6732190</v>
      </c>
      <c r="D121" s="21"/>
      <c r="E121" s="21"/>
      <c r="F121" s="21"/>
    </row>
    <row r="122" spans="1:6" ht="12.75" x14ac:dyDescent="0.2">
      <c r="A122" s="21"/>
      <c r="B122" s="21"/>
      <c r="C122" s="21"/>
      <c r="D122" s="21"/>
      <c r="E122" s="18"/>
      <c r="F122" s="21"/>
    </row>
    <row r="123" spans="1:6" ht="12.75" x14ac:dyDescent="0.2">
      <c r="A123" s="21"/>
      <c r="B123" s="21"/>
      <c r="C123" s="21"/>
      <c r="D123" s="21"/>
      <c r="E123" s="18"/>
      <c r="F123" s="21"/>
    </row>
    <row r="124" spans="1:6" ht="12.75" x14ac:dyDescent="0.2">
      <c r="A124" s="549" t="s">
        <v>179</v>
      </c>
      <c r="B124" s="550"/>
      <c r="C124" s="550"/>
      <c r="D124" s="550"/>
      <c r="E124" s="551"/>
      <c r="F124" s="18"/>
    </row>
    <row r="125" spans="1:6" ht="45.75" customHeight="1" x14ac:dyDescent="0.2">
      <c r="A125" s="1" t="s">
        <v>8</v>
      </c>
      <c r="B125" s="1" t="s">
        <v>9</v>
      </c>
      <c r="C125" s="235" t="s">
        <v>10</v>
      </c>
      <c r="D125" s="3" t="s">
        <v>11</v>
      </c>
      <c r="E125" s="237" t="s">
        <v>12</v>
      </c>
      <c r="F125" s="18"/>
    </row>
    <row r="126" spans="1:6" ht="15" customHeight="1" x14ac:dyDescent="0.2">
      <c r="A126" s="179" t="s">
        <v>180</v>
      </c>
      <c r="B126" s="196" t="s">
        <v>181</v>
      </c>
      <c r="C126" s="135">
        <f>+[3]BS17A!$D59</f>
        <v>5072</v>
      </c>
      <c r="D126" s="31">
        <f>+[3]BS17A!$U59</f>
        <v>32060</v>
      </c>
      <c r="E126" s="96">
        <f>+[3]BS17A!$V59</f>
        <v>162608320</v>
      </c>
      <c r="F126" s="21"/>
    </row>
    <row r="127" spans="1:6" ht="15" customHeight="1" x14ac:dyDescent="0.2">
      <c r="A127" s="180" t="s">
        <v>182</v>
      </c>
      <c r="B127" s="177" t="s">
        <v>183</v>
      </c>
      <c r="C127" s="132">
        <f>+[3]BS17A!$D60</f>
        <v>0</v>
      </c>
      <c r="D127" s="26">
        <f>+[3]BS17A!$U60</f>
        <v>29510</v>
      </c>
      <c r="E127" s="97">
        <f>+[3]BS17A!$V60</f>
        <v>0</v>
      </c>
      <c r="F127" s="21"/>
    </row>
    <row r="128" spans="1:6" ht="15" customHeight="1" x14ac:dyDescent="0.2">
      <c r="A128" s="180" t="s">
        <v>184</v>
      </c>
      <c r="B128" s="177" t="s">
        <v>185</v>
      </c>
      <c r="C128" s="132">
        <f>+[3]BS17A!$D61</f>
        <v>0</v>
      </c>
      <c r="D128" s="26">
        <f>+[3]BS17A!$U61</f>
        <v>24600</v>
      </c>
      <c r="E128" s="97">
        <f>+[3]BS17A!$V61</f>
        <v>0</v>
      </c>
      <c r="F128" s="21"/>
    </row>
    <row r="129" spans="1:6" ht="15" customHeight="1" x14ac:dyDescent="0.2">
      <c r="A129" s="180" t="s">
        <v>186</v>
      </c>
      <c r="B129" s="177" t="s">
        <v>187</v>
      </c>
      <c r="C129" s="132">
        <f>SUM([3]BS17A!D62:D64)</f>
        <v>200</v>
      </c>
      <c r="D129" s="26">
        <f>+[3]BS17A!$U62</f>
        <v>133290</v>
      </c>
      <c r="E129" s="97">
        <f>SUM([3]BS17A!V62:V64)</f>
        <v>26658000</v>
      </c>
      <c r="F129" s="21"/>
    </row>
    <row r="130" spans="1:6" ht="15" customHeight="1" x14ac:dyDescent="0.2">
      <c r="A130" s="180" t="s">
        <v>188</v>
      </c>
      <c r="B130" s="177" t="s">
        <v>189</v>
      </c>
      <c r="C130" s="132">
        <f>SUM([3]BS17A!D65:D67)</f>
        <v>244</v>
      </c>
      <c r="D130" s="26">
        <f>+[3]BS17A!$U65</f>
        <v>64370</v>
      </c>
      <c r="E130" s="97">
        <f>SUM([3]BS17A!V65:V67)</f>
        <v>15706280</v>
      </c>
      <c r="F130" s="21"/>
    </row>
    <row r="131" spans="1:6" ht="15" customHeight="1" x14ac:dyDescent="0.2">
      <c r="A131" s="180" t="s">
        <v>190</v>
      </c>
      <c r="B131" s="177" t="s">
        <v>191</v>
      </c>
      <c r="C131" s="132">
        <f>+[3]BS17A!D68</f>
        <v>54</v>
      </c>
      <c r="D131" s="26">
        <f>+[3]BS17A!$U68</f>
        <v>57760</v>
      </c>
      <c r="E131" s="97">
        <f>+[3]BS17A!$V68</f>
        <v>3119040</v>
      </c>
      <c r="F131" s="21"/>
    </row>
    <row r="132" spans="1:6" ht="15" customHeight="1" x14ac:dyDescent="0.2">
      <c r="A132" s="180" t="s">
        <v>192</v>
      </c>
      <c r="B132" s="177" t="s">
        <v>193</v>
      </c>
      <c r="C132" s="132">
        <f>+[3]BS17A!$D69</f>
        <v>0</v>
      </c>
      <c r="D132" s="26">
        <f>+[3]BS17A!$U69</f>
        <v>16390</v>
      </c>
      <c r="E132" s="97">
        <f>+[3]BS17A!$V69</f>
        <v>0</v>
      </c>
      <c r="F132" s="21"/>
    </row>
    <row r="133" spans="1:6" ht="15" customHeight="1" x14ac:dyDescent="0.2">
      <c r="A133" s="180" t="s">
        <v>194</v>
      </c>
      <c r="B133" s="177" t="s">
        <v>195</v>
      </c>
      <c r="C133" s="132">
        <f>+[3]BS17A!$D70</f>
        <v>0</v>
      </c>
      <c r="D133" s="26">
        <f>+[3]BS17A!$U70</f>
        <v>25680</v>
      </c>
      <c r="E133" s="97">
        <f>+[3]BS17A!$V70</f>
        <v>0</v>
      </c>
      <c r="F133" s="21"/>
    </row>
    <row r="134" spans="1:6" ht="15" customHeight="1" x14ac:dyDescent="0.2">
      <c r="A134" s="180" t="s">
        <v>196</v>
      </c>
      <c r="B134" s="177" t="s">
        <v>197</v>
      </c>
      <c r="C134" s="132">
        <f>+[3]BS17A!$D73</f>
        <v>0</v>
      </c>
      <c r="D134" s="26">
        <f>+[3]BS17A!$U73</f>
        <v>25890</v>
      </c>
      <c r="E134" s="97">
        <f>+[3]BS17A!$V73</f>
        <v>0</v>
      </c>
      <c r="F134" s="21"/>
    </row>
    <row r="135" spans="1:6" ht="15" customHeight="1" x14ac:dyDescent="0.2">
      <c r="A135" s="180" t="s">
        <v>198</v>
      </c>
      <c r="B135" s="177" t="s">
        <v>199</v>
      </c>
      <c r="C135" s="132">
        <f>+[3]BS17A!$D71</f>
        <v>0</v>
      </c>
      <c r="D135" s="26">
        <f>+[3]BS17A!$U71</f>
        <v>26730</v>
      </c>
      <c r="E135" s="97">
        <f>+[3]BS17A!$V71</f>
        <v>0</v>
      </c>
      <c r="F135" s="21"/>
    </row>
    <row r="136" spans="1:6" ht="15" customHeight="1" x14ac:dyDescent="0.2">
      <c r="A136" s="180" t="s">
        <v>200</v>
      </c>
      <c r="B136" s="177" t="s">
        <v>201</v>
      </c>
      <c r="C136" s="132">
        <f>+[3]BS17A!$D76</f>
        <v>0</v>
      </c>
      <c r="D136" s="26">
        <f>+[3]BS17A!$U76</f>
        <v>32060</v>
      </c>
      <c r="E136" s="97">
        <f>+[3]BS17A!$V76</f>
        <v>0</v>
      </c>
      <c r="F136" s="21"/>
    </row>
    <row r="137" spans="1:6" ht="15" customHeight="1" x14ac:dyDescent="0.2">
      <c r="A137" s="180" t="s">
        <v>202</v>
      </c>
      <c r="B137" s="176" t="s">
        <v>203</v>
      </c>
      <c r="C137" s="132">
        <f>+[3]BS17A!$D79</f>
        <v>62</v>
      </c>
      <c r="D137" s="26">
        <f>+[3]BS17A!$U79</f>
        <v>6220</v>
      </c>
      <c r="E137" s="97">
        <f>+[3]BS17A!$V79</f>
        <v>385640</v>
      </c>
      <c r="F137" s="21"/>
    </row>
    <row r="138" spans="1:6" ht="15" customHeight="1" x14ac:dyDescent="0.2">
      <c r="A138" s="180" t="s">
        <v>204</v>
      </c>
      <c r="B138" s="176" t="s">
        <v>205</v>
      </c>
      <c r="C138" s="132">
        <f>+[3]BS17A!$D80</f>
        <v>0</v>
      </c>
      <c r="D138" s="26">
        <f>+[3]BS17A!$U80</f>
        <v>44930</v>
      </c>
      <c r="E138" s="97">
        <f>+[3]BS17A!$V80</f>
        <v>0</v>
      </c>
      <c r="F138" s="21"/>
    </row>
    <row r="139" spans="1:6" ht="15" customHeight="1" x14ac:dyDescent="0.2">
      <c r="A139" s="181"/>
      <c r="B139" s="209" t="s">
        <v>206</v>
      </c>
      <c r="C139" s="165">
        <f>SUM(C126:C138)</f>
        <v>5632</v>
      </c>
      <c r="D139" s="98"/>
      <c r="E139" s="99">
        <f>SUM(E126:E138)</f>
        <v>208477280</v>
      </c>
      <c r="F139" s="21"/>
    </row>
    <row r="140" spans="1:6" ht="15" customHeight="1" x14ac:dyDescent="0.2">
      <c r="A140" s="179"/>
      <c r="B140" s="210" t="s">
        <v>207</v>
      </c>
      <c r="C140" s="135"/>
      <c r="D140" s="31"/>
      <c r="E140" s="96"/>
      <c r="F140" s="21"/>
    </row>
    <row r="141" spans="1:6" ht="15" customHeight="1" x14ac:dyDescent="0.2">
      <c r="A141" s="180" t="s">
        <v>208</v>
      </c>
      <c r="B141" s="177" t="s">
        <v>209</v>
      </c>
      <c r="C141" s="132">
        <f>+[3]BS17A!$D72</f>
        <v>0</v>
      </c>
      <c r="D141" s="26">
        <f>+[3]BS17A!$U72</f>
        <v>10780</v>
      </c>
      <c r="E141" s="97">
        <f>+[3]BS17A!$V72</f>
        <v>0</v>
      </c>
      <c r="F141" s="21"/>
    </row>
    <row r="142" spans="1:6" ht="15" customHeight="1" x14ac:dyDescent="0.2">
      <c r="A142" s="180" t="s">
        <v>210</v>
      </c>
      <c r="B142" s="177" t="s">
        <v>211</v>
      </c>
      <c r="C142" s="132">
        <f>+[3]BS17A!$D74</f>
        <v>0</v>
      </c>
      <c r="D142" s="26">
        <f>+[3]BS17A!$U74</f>
        <v>10780</v>
      </c>
      <c r="E142" s="97">
        <f>+[3]BS17A!$V74</f>
        <v>0</v>
      </c>
      <c r="F142" s="21"/>
    </row>
    <row r="143" spans="1:6" ht="15" customHeight="1" x14ac:dyDescent="0.2">
      <c r="A143" s="180" t="s">
        <v>212</v>
      </c>
      <c r="B143" s="177" t="s">
        <v>213</v>
      </c>
      <c r="C143" s="132">
        <f>+[3]BS17A!$D75</f>
        <v>0</v>
      </c>
      <c r="D143" s="26">
        <f>+[3]BS17A!$U75</f>
        <v>4750</v>
      </c>
      <c r="E143" s="97">
        <f>+[3]BS17A!$V75</f>
        <v>0</v>
      </c>
      <c r="F143" s="21"/>
    </row>
    <row r="144" spans="1:6" ht="15" customHeight="1" x14ac:dyDescent="0.2">
      <c r="A144" s="180" t="s">
        <v>214</v>
      </c>
      <c r="B144" s="177" t="s">
        <v>215</v>
      </c>
      <c r="C144" s="132">
        <f>+[3]BS17A!$D77</f>
        <v>0</v>
      </c>
      <c r="D144" s="26">
        <f>+[3]BS17A!$U77</f>
        <v>86670</v>
      </c>
      <c r="E144" s="97">
        <f>+[3]BS17A!$V77</f>
        <v>0</v>
      </c>
      <c r="F144" s="21"/>
    </row>
    <row r="145" spans="1:6" ht="15" customHeight="1" x14ac:dyDescent="0.2">
      <c r="A145" s="180" t="s">
        <v>216</v>
      </c>
      <c r="B145" s="177" t="s">
        <v>217</v>
      </c>
      <c r="C145" s="132">
        <f>+[3]BS17A!$D78</f>
        <v>0</v>
      </c>
      <c r="D145" s="26">
        <f>+[3]BS17A!$U78</f>
        <v>10230</v>
      </c>
      <c r="E145" s="97">
        <f>+[3]BS17A!$V78</f>
        <v>0</v>
      </c>
      <c r="F145" s="21"/>
    </row>
    <row r="146" spans="1:6" ht="15" customHeight="1" x14ac:dyDescent="0.2">
      <c r="A146" s="180" t="s">
        <v>218</v>
      </c>
      <c r="B146" s="177" t="s">
        <v>219</v>
      </c>
      <c r="C146" s="132">
        <f>+[3]BS17A!$D81</f>
        <v>0</v>
      </c>
      <c r="D146" s="26">
        <f>+[3]BS17A!$U81</f>
        <v>7880</v>
      </c>
      <c r="E146" s="97">
        <f>+[3]BS17A!$V81</f>
        <v>0</v>
      </c>
      <c r="F146" s="21"/>
    </row>
    <row r="147" spans="1:6" ht="15" customHeight="1" x14ac:dyDescent="0.2">
      <c r="A147" s="181"/>
      <c r="B147" s="209" t="s">
        <v>220</v>
      </c>
      <c r="C147" s="165">
        <f>SUM(C141:C146)</f>
        <v>0</v>
      </c>
      <c r="D147" s="98"/>
      <c r="E147" s="99">
        <f>SUM(E141:E146)</f>
        <v>0</v>
      </c>
      <c r="F147" s="21"/>
    </row>
    <row r="148" spans="1:6" ht="15" customHeight="1" x14ac:dyDescent="0.2">
      <c r="A148" s="187"/>
      <c r="B148" s="186" t="s">
        <v>221</v>
      </c>
      <c r="C148" s="35">
        <f>+C139+C147</f>
        <v>5632</v>
      </c>
      <c r="D148" s="100"/>
      <c r="E148" s="101">
        <f>+E139+E147</f>
        <v>208477280</v>
      </c>
      <c r="F148" s="21"/>
    </row>
    <row r="149" spans="1:6" ht="12.75" x14ac:dyDescent="0.2">
      <c r="A149" s="21"/>
      <c r="B149" s="21"/>
      <c r="C149" s="21"/>
      <c r="D149" s="21"/>
      <c r="E149" s="21"/>
      <c r="F149" s="21"/>
    </row>
    <row r="150" spans="1:6" ht="12.75" x14ac:dyDescent="0.2">
      <c r="A150" s="21"/>
      <c r="B150" s="21"/>
      <c r="C150" s="21"/>
      <c r="D150" s="21"/>
      <c r="E150" s="21"/>
      <c r="F150" s="18"/>
    </row>
    <row r="151" spans="1:6" ht="12.75" x14ac:dyDescent="0.2">
      <c r="A151" s="567" t="s">
        <v>222</v>
      </c>
      <c r="B151" s="568"/>
      <c r="C151" s="568"/>
      <c r="D151" s="568"/>
      <c r="E151" s="569"/>
      <c r="F151" s="18"/>
    </row>
    <row r="152" spans="1:6" ht="47.25" customHeight="1" x14ac:dyDescent="0.2">
      <c r="A152" s="1" t="s">
        <v>8</v>
      </c>
      <c r="B152" s="1" t="s">
        <v>9</v>
      </c>
      <c r="C152" s="235" t="s">
        <v>10</v>
      </c>
      <c r="D152" s="3" t="s">
        <v>11</v>
      </c>
      <c r="E152" s="237" t="s">
        <v>12</v>
      </c>
      <c r="F152" s="21"/>
    </row>
    <row r="153" spans="1:6" ht="15" customHeight="1" x14ac:dyDescent="0.2">
      <c r="A153" s="179" t="s">
        <v>223</v>
      </c>
      <c r="B153" s="196" t="s">
        <v>224</v>
      </c>
      <c r="C153" s="135">
        <f>+[3]BS17A!D43</f>
        <v>306</v>
      </c>
      <c r="D153" s="31">
        <f>[3]BS17A!U43</f>
        <v>740</v>
      </c>
      <c r="E153" s="96">
        <f>+[3]BS17A!V43</f>
        <v>226440</v>
      </c>
      <c r="F153" s="21"/>
    </row>
    <row r="154" spans="1:6" ht="15" customHeight="1" x14ac:dyDescent="0.2">
      <c r="A154" s="181" t="s">
        <v>225</v>
      </c>
      <c r="B154" s="178" t="s">
        <v>226</v>
      </c>
      <c r="C154" s="142">
        <f>+[3]BS17A!D44+[3]BS17A!D45</f>
        <v>0</v>
      </c>
      <c r="D154" s="33">
        <f>[3]BS17A!U44</f>
        <v>100</v>
      </c>
      <c r="E154" s="102">
        <f>+[3]BS17A!V44+[3]BS17A!V45</f>
        <v>0</v>
      </c>
      <c r="F154" s="21"/>
    </row>
    <row r="155" spans="1:6" ht="15" customHeight="1" x14ac:dyDescent="0.2">
      <c r="A155" s="187"/>
      <c r="B155" s="186" t="s">
        <v>227</v>
      </c>
      <c r="C155" s="35">
        <f>SUM(C153:C154)</f>
        <v>306</v>
      </c>
      <c r="D155" s="100"/>
      <c r="E155" s="101">
        <f>SUM(E153:E154)</f>
        <v>226440</v>
      </c>
      <c r="F155" s="21"/>
    </row>
    <row r="156" spans="1:6" ht="12.75" x14ac:dyDescent="0.2">
      <c r="A156" s="21"/>
      <c r="B156" s="21"/>
      <c r="C156" s="21"/>
      <c r="D156" s="21"/>
      <c r="E156" s="21"/>
      <c r="F156" s="21"/>
    </row>
    <row r="157" spans="1:6" ht="12.75" x14ac:dyDescent="0.2">
      <c r="A157" s="21"/>
      <c r="B157" s="21"/>
      <c r="C157" s="21"/>
      <c r="D157" s="21"/>
      <c r="E157" s="21"/>
      <c r="F157" s="21"/>
    </row>
    <row r="158" spans="1:6" ht="18" customHeight="1" x14ac:dyDescent="0.2">
      <c r="A158" s="567" t="s">
        <v>228</v>
      </c>
      <c r="B158" s="568"/>
      <c r="C158" s="568"/>
      <c r="D158" s="568"/>
      <c r="E158" s="569"/>
      <c r="F158" s="18"/>
    </row>
    <row r="159" spans="1:6" ht="47.25" customHeight="1" x14ac:dyDescent="0.2">
      <c r="A159" s="1" t="s">
        <v>8</v>
      </c>
      <c r="B159" s="1" t="s">
        <v>9</v>
      </c>
      <c r="C159" s="235" t="s">
        <v>10</v>
      </c>
      <c r="D159" s="3" t="s">
        <v>11</v>
      </c>
      <c r="E159" s="237" t="s">
        <v>12</v>
      </c>
      <c r="F159" s="21"/>
    </row>
    <row r="160" spans="1:6" ht="15" customHeight="1" x14ac:dyDescent="0.2">
      <c r="A160" s="179" t="s">
        <v>229</v>
      </c>
      <c r="B160" s="175" t="s">
        <v>230</v>
      </c>
      <c r="C160" s="160">
        <f>+[3]BS17A!$D1481</f>
        <v>0</v>
      </c>
      <c r="D160" s="31">
        <f>+[3]BS17A!$U1481</f>
        <v>40370</v>
      </c>
      <c r="E160" s="96">
        <f>+[3]BS17A!$V1481</f>
        <v>0</v>
      </c>
      <c r="F160" s="21"/>
    </row>
    <row r="161" spans="1:6" ht="15" customHeight="1" x14ac:dyDescent="0.2">
      <c r="A161" s="180" t="s">
        <v>231</v>
      </c>
      <c r="B161" s="177" t="s">
        <v>232</v>
      </c>
      <c r="C161" s="164">
        <f>+[3]BS17A!$D1482</f>
        <v>0</v>
      </c>
      <c r="D161" s="26">
        <f>+[3]BS17A!$U1482</f>
        <v>25390</v>
      </c>
      <c r="E161" s="97">
        <f>+[3]BS17A!$V1482</f>
        <v>0</v>
      </c>
      <c r="F161" s="21"/>
    </row>
    <row r="162" spans="1:6" ht="15" customHeight="1" x14ac:dyDescent="0.2">
      <c r="A162" s="180" t="s">
        <v>233</v>
      </c>
      <c r="B162" s="176" t="s">
        <v>234</v>
      </c>
      <c r="C162" s="164">
        <f>+[3]BS17A!$D1483</f>
        <v>0</v>
      </c>
      <c r="D162" s="26">
        <f>+[3]BS17A!$U1483</f>
        <v>26150</v>
      </c>
      <c r="E162" s="97">
        <f>+[3]BS17A!$V1483</f>
        <v>0</v>
      </c>
      <c r="F162" s="21"/>
    </row>
    <row r="163" spans="1:6" ht="15" customHeight="1" x14ac:dyDescent="0.2">
      <c r="A163" s="180" t="s">
        <v>235</v>
      </c>
      <c r="B163" s="177" t="s">
        <v>236</v>
      </c>
      <c r="C163" s="164">
        <f>+[3]BS17A!$D1484</f>
        <v>0</v>
      </c>
      <c r="D163" s="26">
        <f>+[3]BS17A!$U1484</f>
        <v>784500</v>
      </c>
      <c r="E163" s="97">
        <f>+[3]BS17A!$V1484</f>
        <v>0</v>
      </c>
      <c r="F163" s="21"/>
    </row>
    <row r="164" spans="1:6" ht="15" customHeight="1" x14ac:dyDescent="0.2">
      <c r="A164" s="180" t="s">
        <v>237</v>
      </c>
      <c r="B164" s="177" t="s">
        <v>238</v>
      </c>
      <c r="C164" s="164">
        <f>+[3]BS17A!$D1485</f>
        <v>0</v>
      </c>
      <c r="D164" s="26">
        <f>+[3]BS17A!$U1485</f>
        <v>356330</v>
      </c>
      <c r="E164" s="97">
        <f>+[3]BS17A!$V1485</f>
        <v>0</v>
      </c>
      <c r="F164" s="21"/>
    </row>
    <row r="165" spans="1:6" ht="15" customHeight="1" x14ac:dyDescent="0.2">
      <c r="A165" s="180" t="s">
        <v>239</v>
      </c>
      <c r="B165" s="177" t="s">
        <v>240</v>
      </c>
      <c r="C165" s="164">
        <f>+[3]BS17A!$D1486</f>
        <v>0</v>
      </c>
      <c r="D165" s="26">
        <f>+[3]BS17A!$U1486</f>
        <v>544860</v>
      </c>
      <c r="E165" s="97">
        <f>+[3]BS17A!$V1486</f>
        <v>0</v>
      </c>
      <c r="F165" s="21"/>
    </row>
    <row r="166" spans="1:6" ht="15" customHeight="1" x14ac:dyDescent="0.2">
      <c r="A166" s="207" t="s">
        <v>241</v>
      </c>
      <c r="B166" s="205" t="s">
        <v>242</v>
      </c>
      <c r="C166" s="164">
        <f>+[3]BS17A!$D1487</f>
        <v>0</v>
      </c>
      <c r="D166" s="26">
        <f>+[3]BS17A!$U1487</f>
        <v>49130</v>
      </c>
      <c r="E166" s="97">
        <f>+[3]BS17A!$V1487</f>
        <v>0</v>
      </c>
      <c r="F166" s="21"/>
    </row>
    <row r="167" spans="1:6" ht="15" customHeight="1" x14ac:dyDescent="0.2">
      <c r="A167" s="208">
        <v>1901029</v>
      </c>
      <c r="B167" s="206" t="s">
        <v>243</v>
      </c>
      <c r="C167" s="161">
        <f>+[3]BS17A!$D1488</f>
        <v>0</v>
      </c>
      <c r="D167" s="33">
        <f>+[3]BS17A!$U1488</f>
        <v>638670</v>
      </c>
      <c r="E167" s="102">
        <f>+[3]BS17A!$V1488</f>
        <v>0</v>
      </c>
      <c r="F167" s="21"/>
    </row>
    <row r="168" spans="1:6" ht="15" customHeight="1" x14ac:dyDescent="0.2">
      <c r="A168" s="86"/>
      <c r="B168" s="103" t="s">
        <v>244</v>
      </c>
      <c r="C168" s="104">
        <f>SUM(C160:C167)</f>
        <v>0</v>
      </c>
      <c r="D168" s="105"/>
      <c r="E168" s="106">
        <f>SUM(E160:E167)</f>
        <v>0</v>
      </c>
      <c r="F168" s="21"/>
    </row>
    <row r="169" spans="1:6" ht="12.75" x14ac:dyDescent="0.2">
      <c r="A169" s="21"/>
      <c r="B169" s="21"/>
      <c r="C169" s="21"/>
      <c r="D169" s="21"/>
      <c r="E169" s="21"/>
      <c r="F169" s="21"/>
    </row>
    <row r="170" spans="1:6" ht="18" customHeight="1" x14ac:dyDescent="0.2">
      <c r="A170" s="21"/>
      <c r="B170" s="21"/>
      <c r="C170" s="21"/>
      <c r="D170" s="21"/>
      <c r="E170" s="21"/>
      <c r="F170" s="21"/>
    </row>
    <row r="171" spans="1:6" ht="18" customHeight="1" x14ac:dyDescent="0.2">
      <c r="A171" s="549" t="s">
        <v>245</v>
      </c>
      <c r="B171" s="550"/>
      <c r="C171" s="550"/>
      <c r="D171" s="550"/>
      <c r="E171" s="551"/>
      <c r="F171" s="18"/>
    </row>
    <row r="172" spans="1:6" ht="46.5" customHeight="1" x14ac:dyDescent="0.2">
      <c r="A172" s="1" t="s">
        <v>8</v>
      </c>
      <c r="B172" s="1" t="s">
        <v>9</v>
      </c>
      <c r="C172" s="235" t="s">
        <v>10</v>
      </c>
      <c r="D172" s="3" t="s">
        <v>11</v>
      </c>
      <c r="E172" s="237" t="s">
        <v>12</v>
      </c>
      <c r="F172" s="21"/>
    </row>
    <row r="173" spans="1:6" ht="12.75" customHeight="1" x14ac:dyDescent="0.2">
      <c r="A173" s="203">
        <v>1101004</v>
      </c>
      <c r="B173" s="9" t="s">
        <v>246</v>
      </c>
      <c r="C173" s="135">
        <f>+[3]BS17A!$D805</f>
        <v>8</v>
      </c>
      <c r="D173" s="31">
        <f>+[3]BS17A!$U805</f>
        <v>13840</v>
      </c>
      <c r="E173" s="96">
        <f>+[3]BS17A!$V805</f>
        <v>110720</v>
      </c>
      <c r="F173" s="21"/>
    </row>
    <row r="174" spans="1:6" ht="12.75" customHeight="1" x14ac:dyDescent="0.2">
      <c r="A174" s="202">
        <v>1101006</v>
      </c>
      <c r="B174" s="10" t="s">
        <v>247</v>
      </c>
      <c r="C174" s="132">
        <f>+[3]BS17A!$D806</f>
        <v>0</v>
      </c>
      <c r="D174" s="26">
        <f>+[3]BS17A!$U806</f>
        <v>11070</v>
      </c>
      <c r="E174" s="97">
        <f>+[3]BS17A!$V806</f>
        <v>0</v>
      </c>
      <c r="F174" s="21"/>
    </row>
    <row r="175" spans="1:6" ht="24.75" customHeight="1" x14ac:dyDescent="0.2">
      <c r="A175" s="202" t="s">
        <v>248</v>
      </c>
      <c r="B175" s="11" t="s">
        <v>249</v>
      </c>
      <c r="C175" s="132">
        <f>+[3]BS17A!$D1197</f>
        <v>503</v>
      </c>
      <c r="D175" s="26">
        <f>+[3]BS17A!$U1197</f>
        <v>4740</v>
      </c>
      <c r="E175" s="97">
        <f>+[3]BS17A!$V1197</f>
        <v>2384220</v>
      </c>
      <c r="F175" s="21"/>
    </row>
    <row r="176" spans="1:6" ht="24.75" customHeight="1" x14ac:dyDescent="0.2">
      <c r="A176" s="202" t="s">
        <v>250</v>
      </c>
      <c r="B176" s="11" t="s">
        <v>251</v>
      </c>
      <c r="C176" s="132">
        <f>+[3]BS17A!$D1198</f>
        <v>1</v>
      </c>
      <c r="D176" s="26">
        <f>+[3]BS17A!$U1198</f>
        <v>13370</v>
      </c>
      <c r="E176" s="97">
        <f>+[3]BS17A!$V1198</f>
        <v>13370</v>
      </c>
      <c r="F176" s="21"/>
    </row>
    <row r="177" spans="1:6" ht="24.75" customHeight="1" x14ac:dyDescent="0.2">
      <c r="A177" s="202" t="s">
        <v>252</v>
      </c>
      <c r="B177" s="11" t="s">
        <v>253</v>
      </c>
      <c r="C177" s="132">
        <f>+[3]BS17A!$D1199</f>
        <v>17</v>
      </c>
      <c r="D177" s="26">
        <f>+[3]BS17A!$U1199</f>
        <v>22670</v>
      </c>
      <c r="E177" s="97">
        <f>+[3]BS17A!$V1199</f>
        <v>385390</v>
      </c>
      <c r="F177" s="21"/>
    </row>
    <row r="178" spans="1:6" ht="12.75" customHeight="1" x14ac:dyDescent="0.2">
      <c r="A178" s="202" t="s">
        <v>254</v>
      </c>
      <c r="B178" s="11" t="s">
        <v>255</v>
      </c>
      <c r="C178" s="132">
        <f>+[3]BS17A!$D1200</f>
        <v>0</v>
      </c>
      <c r="D178" s="26">
        <f>+[3]BS17A!$U1200</f>
        <v>43280</v>
      </c>
      <c r="E178" s="97">
        <f>+[3]BS17A!$V1200</f>
        <v>0</v>
      </c>
      <c r="F178" s="21"/>
    </row>
    <row r="179" spans="1:6" ht="12.75" customHeight="1" x14ac:dyDescent="0.2">
      <c r="A179" s="202" t="s">
        <v>256</v>
      </c>
      <c r="B179" s="11" t="s">
        <v>257</v>
      </c>
      <c r="C179" s="132">
        <f>+[3]BS17A!$D1201</f>
        <v>31</v>
      </c>
      <c r="D179" s="26">
        <f>+[3]BS17A!$U1201</f>
        <v>48240</v>
      </c>
      <c r="E179" s="97">
        <f>+[3]BS17A!$V1201</f>
        <v>1495440</v>
      </c>
      <c r="F179" s="21"/>
    </row>
    <row r="180" spans="1:6" ht="24.75" customHeight="1" x14ac:dyDescent="0.2">
      <c r="A180" s="202" t="s">
        <v>258</v>
      </c>
      <c r="B180" s="11" t="s">
        <v>259</v>
      </c>
      <c r="C180" s="132">
        <f>+[3]BS17A!$D1202</f>
        <v>0</v>
      </c>
      <c r="D180" s="26">
        <f>+[3]BS17A!$U1202</f>
        <v>27060</v>
      </c>
      <c r="E180" s="97">
        <f>+[3]BS17A!$V1202</f>
        <v>0</v>
      </c>
      <c r="F180" s="21"/>
    </row>
    <row r="181" spans="1:6" ht="12.75" customHeight="1" x14ac:dyDescent="0.2">
      <c r="A181" s="202" t="s">
        <v>260</v>
      </c>
      <c r="B181" s="12" t="s">
        <v>261</v>
      </c>
      <c r="C181" s="132">
        <f>+[3]BS17A!$D1203</f>
        <v>0</v>
      </c>
      <c r="D181" s="26">
        <f>+[3]BS17A!$U1203</f>
        <v>209350</v>
      </c>
      <c r="E181" s="97">
        <f>+[3]BS17A!$V1203</f>
        <v>0</v>
      </c>
      <c r="F181" s="21"/>
    </row>
    <row r="182" spans="1:6" ht="12.75" customHeight="1" x14ac:dyDescent="0.2">
      <c r="A182" s="202" t="s">
        <v>262</v>
      </c>
      <c r="B182" s="11" t="s">
        <v>263</v>
      </c>
      <c r="C182" s="132">
        <f>+[3]BS17A!$D1204</f>
        <v>0</v>
      </c>
      <c r="D182" s="26">
        <f>+[3]BS17A!$U1204</f>
        <v>238000</v>
      </c>
      <c r="E182" s="97">
        <f>+[3]BS17A!$V1204</f>
        <v>0</v>
      </c>
      <c r="F182" s="21"/>
    </row>
    <row r="183" spans="1:6" ht="12.75" customHeight="1" x14ac:dyDescent="0.2">
      <c r="A183" s="202" t="s">
        <v>264</v>
      </c>
      <c r="B183" s="11" t="s">
        <v>265</v>
      </c>
      <c r="C183" s="132">
        <f>+[3]BS17A!$D1205</f>
        <v>0</v>
      </c>
      <c r="D183" s="26">
        <f>+[3]BS17A!$U1205</f>
        <v>194080</v>
      </c>
      <c r="E183" s="97">
        <f>+[3]BS17A!$V1205</f>
        <v>0</v>
      </c>
      <c r="F183" s="21"/>
    </row>
    <row r="184" spans="1:6" ht="24.75" customHeight="1" x14ac:dyDescent="0.2">
      <c r="A184" s="202" t="s">
        <v>266</v>
      </c>
      <c r="B184" s="12" t="s">
        <v>267</v>
      </c>
      <c r="C184" s="132">
        <f>+[3]BS17A!$D1206</f>
        <v>0</v>
      </c>
      <c r="D184" s="26">
        <f>+[3]BS17A!$U1206</f>
        <v>249290</v>
      </c>
      <c r="E184" s="97">
        <f>+[3]BS17A!$V1206</f>
        <v>0</v>
      </c>
      <c r="F184" s="21"/>
    </row>
    <row r="185" spans="1:6" ht="24.75" customHeight="1" x14ac:dyDescent="0.2">
      <c r="A185" s="202" t="s">
        <v>268</v>
      </c>
      <c r="B185" s="12" t="s">
        <v>269</v>
      </c>
      <c r="C185" s="132">
        <f>+[3]BS17A!$D1207</f>
        <v>0</v>
      </c>
      <c r="D185" s="26">
        <f>+[3]BS17A!$U1207</f>
        <v>255080</v>
      </c>
      <c r="E185" s="97">
        <f>+[3]BS17A!$V1207</f>
        <v>0</v>
      </c>
      <c r="F185" s="21"/>
    </row>
    <row r="186" spans="1:6" ht="24.75" customHeight="1" x14ac:dyDescent="0.2">
      <c r="A186" s="202" t="s">
        <v>270</v>
      </c>
      <c r="B186" s="12" t="s">
        <v>271</v>
      </c>
      <c r="C186" s="132">
        <f>+[3]BS17A!$D1208</f>
        <v>0</v>
      </c>
      <c r="D186" s="26">
        <f>+[3]BS17A!$U1208</f>
        <v>215710</v>
      </c>
      <c r="E186" s="97">
        <f>+[3]BS17A!$V1208</f>
        <v>0</v>
      </c>
      <c r="F186" s="21"/>
    </row>
    <row r="187" spans="1:6" ht="12.75" customHeight="1" x14ac:dyDescent="0.2">
      <c r="A187" s="202" t="s">
        <v>272</v>
      </c>
      <c r="B187" s="12" t="s">
        <v>273</v>
      </c>
      <c r="C187" s="132">
        <f>+[3]BS17A!$D1209</f>
        <v>0</v>
      </c>
      <c r="D187" s="26">
        <f>+[3]BS17A!$U1209</f>
        <v>230250</v>
      </c>
      <c r="E187" s="97">
        <f>+[3]BS17A!$V1209</f>
        <v>0</v>
      </c>
      <c r="F187" s="21"/>
    </row>
    <row r="188" spans="1:6" ht="12.75" customHeight="1" x14ac:dyDescent="0.2">
      <c r="A188" s="202" t="s">
        <v>274</v>
      </c>
      <c r="B188" s="12" t="s">
        <v>275</v>
      </c>
      <c r="C188" s="132">
        <f>+[3]BS17A!$D1210</f>
        <v>0</v>
      </c>
      <c r="D188" s="26">
        <f>+[3]BS17A!$U1210</f>
        <v>275320</v>
      </c>
      <c r="E188" s="97">
        <f>+[3]BS17A!$V1210</f>
        <v>0</v>
      </c>
      <c r="F188" s="21"/>
    </row>
    <row r="189" spans="1:6" ht="24.75" customHeight="1" x14ac:dyDescent="0.2">
      <c r="A189" s="202" t="s">
        <v>276</v>
      </c>
      <c r="B189" s="11" t="s">
        <v>277</v>
      </c>
      <c r="C189" s="132">
        <f>+[3]BS17A!$D1211</f>
        <v>0</v>
      </c>
      <c r="D189" s="26">
        <f>+[3]BS17A!$U1211</f>
        <v>244150</v>
      </c>
      <c r="E189" s="97">
        <f>+[3]BS17A!$V1211</f>
        <v>0</v>
      </c>
      <c r="F189" s="21"/>
    </row>
    <row r="190" spans="1:6" ht="24.75" customHeight="1" x14ac:dyDescent="0.2">
      <c r="A190" s="202" t="s">
        <v>278</v>
      </c>
      <c r="B190" s="12" t="s">
        <v>279</v>
      </c>
      <c r="C190" s="132">
        <f>+[3]BS17A!$D1212</f>
        <v>0</v>
      </c>
      <c r="D190" s="26">
        <f>+[3]BS17A!$U1212</f>
        <v>1786710</v>
      </c>
      <c r="E190" s="97">
        <f>+[3]BS17A!$V1212</f>
        <v>0</v>
      </c>
      <c r="F190" s="21"/>
    </row>
    <row r="191" spans="1:6" ht="12.75" customHeight="1" x14ac:dyDescent="0.2">
      <c r="A191" s="202" t="s">
        <v>280</v>
      </c>
      <c r="B191" s="12" t="s">
        <v>281</v>
      </c>
      <c r="C191" s="132">
        <f>+[3]BS17A!$D1213</f>
        <v>0</v>
      </c>
      <c r="D191" s="26">
        <f>+[3]BS17A!$U1213</f>
        <v>1115980</v>
      </c>
      <c r="E191" s="97">
        <f>+[3]BS17A!$V1213</f>
        <v>0</v>
      </c>
      <c r="F191" s="21"/>
    </row>
    <row r="192" spans="1:6" ht="12.75" customHeight="1" x14ac:dyDescent="0.2">
      <c r="A192" s="180" t="s">
        <v>282</v>
      </c>
      <c r="B192" s="12" t="s">
        <v>283</v>
      </c>
      <c r="C192" s="132">
        <f>+[3]BS17A!$D1214</f>
        <v>0</v>
      </c>
      <c r="D192" s="26">
        <f>+[3]BS17A!$U1214</f>
        <v>1080140</v>
      </c>
      <c r="E192" s="97">
        <f>+[3]BS17A!$V1214</f>
        <v>0</v>
      </c>
      <c r="F192" s="21"/>
    </row>
    <row r="193" spans="1:6" ht="24.75" customHeight="1" x14ac:dyDescent="0.2">
      <c r="A193" s="202" t="s">
        <v>284</v>
      </c>
      <c r="B193" s="12" t="s">
        <v>285</v>
      </c>
      <c r="C193" s="132">
        <f>+[3]BS17A!$D1215</f>
        <v>0</v>
      </c>
      <c r="D193" s="26">
        <f>+[3]BS17A!$U1215</f>
        <v>1131580</v>
      </c>
      <c r="E193" s="97">
        <f>+[3]BS17A!$V1215</f>
        <v>0</v>
      </c>
      <c r="F193" s="21"/>
    </row>
    <row r="194" spans="1:6" ht="12.75" customHeight="1" x14ac:dyDescent="0.2">
      <c r="A194" s="180" t="s">
        <v>286</v>
      </c>
      <c r="B194" s="12" t="s">
        <v>287</v>
      </c>
      <c r="C194" s="132">
        <f>+[3]BS17A!$D1216</f>
        <v>0</v>
      </c>
      <c r="D194" s="26">
        <f>+[3]BS17A!$U1216</f>
        <v>160130</v>
      </c>
      <c r="E194" s="97">
        <f>+[3]BS17A!$V1216</f>
        <v>0</v>
      </c>
      <c r="F194" s="21"/>
    </row>
    <row r="195" spans="1:6" ht="12.75" customHeight="1" x14ac:dyDescent="0.2">
      <c r="A195" s="180" t="s">
        <v>288</v>
      </c>
      <c r="B195" s="12" t="s">
        <v>289</v>
      </c>
      <c r="C195" s="132">
        <f>+[3]BS17A!$D1217</f>
        <v>0</v>
      </c>
      <c r="D195" s="26">
        <f>+[3]BS17A!$U1217</f>
        <v>365410</v>
      </c>
      <c r="E195" s="97">
        <f>+[3]BS17A!$V1217</f>
        <v>0</v>
      </c>
      <c r="F195" s="21"/>
    </row>
    <row r="196" spans="1:6" ht="12.75" customHeight="1" x14ac:dyDescent="0.2">
      <c r="A196" s="202" t="s">
        <v>290</v>
      </c>
      <c r="B196" s="12" t="s">
        <v>291</v>
      </c>
      <c r="C196" s="132">
        <f>+[3]BS17A!$D1218</f>
        <v>0</v>
      </c>
      <c r="D196" s="26">
        <f>+[3]BS17A!$U1218</f>
        <v>135470</v>
      </c>
      <c r="E196" s="97">
        <f>+[3]BS17A!$V1218</f>
        <v>0</v>
      </c>
      <c r="F196" s="21"/>
    </row>
    <row r="197" spans="1:6" ht="12.75" customHeight="1" x14ac:dyDescent="0.2">
      <c r="A197" s="202" t="s">
        <v>292</v>
      </c>
      <c r="B197" s="12" t="s">
        <v>293</v>
      </c>
      <c r="C197" s="132">
        <f>+[3]BS17A!$D1219</f>
        <v>0</v>
      </c>
      <c r="D197" s="26">
        <f>+[3]BS17A!$U1219</f>
        <v>1097590</v>
      </c>
      <c r="E197" s="97">
        <f>+[3]BS17A!$V1219</f>
        <v>0</v>
      </c>
      <c r="F197" s="21"/>
    </row>
    <row r="198" spans="1:6" ht="12.75" customHeight="1" x14ac:dyDescent="0.2">
      <c r="A198" s="202" t="s">
        <v>294</v>
      </c>
      <c r="B198" s="12" t="s">
        <v>295</v>
      </c>
      <c r="C198" s="132">
        <f>+[3]BS17A!$D1220</f>
        <v>0</v>
      </c>
      <c r="D198" s="26">
        <f>+[3]BS17A!$U1220</f>
        <v>1097590</v>
      </c>
      <c r="E198" s="97">
        <f>+[3]BS17A!$V1220</f>
        <v>0</v>
      </c>
      <c r="F198" s="21"/>
    </row>
    <row r="199" spans="1:6" ht="12.75" customHeight="1" x14ac:dyDescent="0.2">
      <c r="A199" s="202">
        <v>1801001</v>
      </c>
      <c r="B199" s="10" t="s">
        <v>296</v>
      </c>
      <c r="C199" s="132">
        <f>+[3]BS17A!$D1354</f>
        <v>48</v>
      </c>
      <c r="D199" s="26">
        <f>+[3]BS17A!$U1354</f>
        <v>32740</v>
      </c>
      <c r="E199" s="97">
        <f>+[3]BS17A!$V1354</f>
        <v>1571520</v>
      </c>
      <c r="F199" s="21"/>
    </row>
    <row r="200" spans="1:6" ht="12.75" customHeight="1" x14ac:dyDescent="0.2">
      <c r="A200" s="202">
        <v>1801003</v>
      </c>
      <c r="B200" s="12" t="s">
        <v>297</v>
      </c>
      <c r="C200" s="132">
        <f>+[3]BS17A!$D1355</f>
        <v>0</v>
      </c>
      <c r="D200" s="26">
        <f>+[3]BS17A!$U1355</f>
        <v>39490</v>
      </c>
      <c r="E200" s="97">
        <f>+[3]BS17A!$V1355</f>
        <v>0</v>
      </c>
      <c r="F200" s="21"/>
    </row>
    <row r="201" spans="1:6" ht="12.75" customHeight="1" x14ac:dyDescent="0.2">
      <c r="A201" s="202">
        <v>1801006</v>
      </c>
      <c r="B201" s="10" t="s">
        <v>298</v>
      </c>
      <c r="C201" s="132">
        <f>+[3]BS17A!$D1356</f>
        <v>5</v>
      </c>
      <c r="D201" s="26">
        <f>+[3]BS17A!$U1356</f>
        <v>42060</v>
      </c>
      <c r="E201" s="97">
        <f>+[3]BS17A!$V1356</f>
        <v>210300</v>
      </c>
      <c r="F201" s="21"/>
    </row>
    <row r="202" spans="1:6" ht="24.75" customHeight="1" x14ac:dyDescent="0.2">
      <c r="A202" s="202" t="s">
        <v>299</v>
      </c>
      <c r="B202" s="10" t="s">
        <v>300</v>
      </c>
      <c r="C202" s="132">
        <f>[3]BS17A!D1036</f>
        <v>0</v>
      </c>
      <c r="D202" s="26">
        <f>[3]BS17A!U1036</f>
        <v>8850</v>
      </c>
      <c r="E202" s="97">
        <f>[3]BS17A!V1036</f>
        <v>0</v>
      </c>
      <c r="F202" s="21"/>
    </row>
    <row r="203" spans="1:6" ht="24.75" customHeight="1" x14ac:dyDescent="0.2">
      <c r="A203" s="204" t="s">
        <v>301</v>
      </c>
      <c r="B203" s="13" t="s">
        <v>302</v>
      </c>
      <c r="C203" s="163">
        <f>[3]BS17A!D807</f>
        <v>0</v>
      </c>
      <c r="D203" s="107">
        <f>[3]BS17A!U807</f>
        <v>375680</v>
      </c>
      <c r="E203" s="108">
        <f>[3]BS17A!V807</f>
        <v>0</v>
      </c>
      <c r="F203" s="21"/>
    </row>
    <row r="204" spans="1:6" ht="17.25" customHeight="1" x14ac:dyDescent="0.2">
      <c r="A204" s="187"/>
      <c r="B204" s="186" t="s">
        <v>303</v>
      </c>
      <c r="C204" s="35">
        <f>SUM(C173:C203)</f>
        <v>613</v>
      </c>
      <c r="D204" s="100"/>
      <c r="E204" s="101">
        <f>SUM(E173:E203)</f>
        <v>6170960</v>
      </c>
      <c r="F204" s="21"/>
    </row>
    <row r="205" spans="1:6" ht="21.75" customHeight="1" x14ac:dyDescent="0.2">
      <c r="A205" s="21"/>
      <c r="B205" s="21"/>
      <c r="C205" s="21"/>
      <c r="D205" s="21"/>
      <c r="E205" s="21"/>
      <c r="F205" s="21"/>
    </row>
    <row r="206" spans="1:6" ht="19.5" customHeight="1" x14ac:dyDescent="0.2">
      <c r="A206" s="21"/>
      <c r="B206" s="21"/>
      <c r="C206" s="21"/>
      <c r="D206" s="21"/>
      <c r="E206" s="21"/>
      <c r="F206" s="21"/>
    </row>
    <row r="207" spans="1:6" ht="18" customHeight="1" x14ac:dyDescent="0.2">
      <c r="A207" s="549" t="s">
        <v>304</v>
      </c>
      <c r="B207" s="550"/>
      <c r="C207" s="550"/>
      <c r="D207" s="550"/>
      <c r="E207" s="551"/>
      <c r="F207" s="18"/>
    </row>
    <row r="208" spans="1:6" ht="39.75" customHeight="1" x14ac:dyDescent="0.2">
      <c r="A208" s="1" t="s">
        <v>8</v>
      </c>
      <c r="B208" s="1" t="s">
        <v>9</v>
      </c>
      <c r="C208" s="235" t="s">
        <v>10</v>
      </c>
      <c r="D208" s="3" t="s">
        <v>11</v>
      </c>
      <c r="E208" s="237" t="s">
        <v>12</v>
      </c>
      <c r="F208" s="18"/>
    </row>
    <row r="209" spans="1:6" ht="12.75" customHeight="1" x14ac:dyDescent="0.2">
      <c r="A209" s="179" t="s">
        <v>305</v>
      </c>
      <c r="B209" s="196" t="s">
        <v>306</v>
      </c>
      <c r="C209" s="135">
        <f>+[3]BS17A!$D18</f>
        <v>0</v>
      </c>
      <c r="D209" s="31">
        <f>+[3]BS17A!$U18</f>
        <v>13700</v>
      </c>
      <c r="E209" s="96">
        <f>+[3]BS17A!$V18</f>
        <v>0</v>
      </c>
      <c r="F209" s="21"/>
    </row>
    <row r="210" spans="1:6" ht="12.75" customHeight="1" x14ac:dyDescent="0.2">
      <c r="A210" s="180" t="s">
        <v>307</v>
      </c>
      <c r="B210" s="177" t="s">
        <v>308</v>
      </c>
      <c r="C210" s="132">
        <f>+[3]BS17A!$D19</f>
        <v>62</v>
      </c>
      <c r="D210" s="26">
        <f>+[3]BS17A!$U19</f>
        <v>13700</v>
      </c>
      <c r="E210" s="97">
        <f>+[3]BS17A!$V19</f>
        <v>849400</v>
      </c>
      <c r="F210" s="21"/>
    </row>
    <row r="211" spans="1:6" ht="12.75" customHeight="1" x14ac:dyDescent="0.2">
      <c r="A211" s="180" t="s">
        <v>309</v>
      </c>
      <c r="B211" s="176" t="s">
        <v>310</v>
      </c>
      <c r="C211" s="132">
        <f>+[3]BS17A!$D47</f>
        <v>0</v>
      </c>
      <c r="D211" s="26">
        <f>+[3]BS17A!$U47</f>
        <v>1310</v>
      </c>
      <c r="E211" s="97">
        <f>+[3]BS17A!$V47</f>
        <v>0</v>
      </c>
      <c r="F211" s="21"/>
    </row>
    <row r="212" spans="1:6" ht="12.75" customHeight="1" x14ac:dyDescent="0.2">
      <c r="A212" s="180" t="s">
        <v>311</v>
      </c>
      <c r="B212" s="176" t="s">
        <v>312</v>
      </c>
      <c r="C212" s="132">
        <f>+[3]BS17A!$D48</f>
        <v>512</v>
      </c>
      <c r="D212" s="26">
        <f>+[3]BS17A!$U48</f>
        <v>640</v>
      </c>
      <c r="E212" s="97">
        <f>+[3]BS17A!$V48</f>
        <v>327680</v>
      </c>
      <c r="F212" s="21"/>
    </row>
    <row r="213" spans="1:6" ht="12.75" customHeight="1" x14ac:dyDescent="0.2">
      <c r="A213" s="180" t="s">
        <v>313</v>
      </c>
      <c r="B213" s="177" t="s">
        <v>314</v>
      </c>
      <c r="C213" s="132">
        <f>+[3]BS17A!$D49</f>
        <v>325</v>
      </c>
      <c r="D213" s="26">
        <f>+[3]BS17A!$U49</f>
        <v>1940</v>
      </c>
      <c r="E213" s="97">
        <f>+[3]BS17A!$V49</f>
        <v>630500</v>
      </c>
      <c r="F213" s="21"/>
    </row>
    <row r="214" spans="1:6" ht="12.75" customHeight="1" x14ac:dyDescent="0.2">
      <c r="A214" s="180" t="s">
        <v>315</v>
      </c>
      <c r="B214" s="177" t="s">
        <v>316</v>
      </c>
      <c r="C214" s="132">
        <f>+[3]BS17A!$D50</f>
        <v>54</v>
      </c>
      <c r="D214" s="26">
        <f>+[3]BS17A!$U50</f>
        <v>14590</v>
      </c>
      <c r="E214" s="97">
        <f>+[3]BS17A!$V50</f>
        <v>787860</v>
      </c>
      <c r="F214" s="21"/>
    </row>
    <row r="215" spans="1:6" ht="12.75" customHeight="1" x14ac:dyDescent="0.2">
      <c r="A215" s="180" t="s">
        <v>317</v>
      </c>
      <c r="B215" s="176" t="s">
        <v>318</v>
      </c>
      <c r="C215" s="132">
        <f>+[3]BS17A!$D51</f>
        <v>91</v>
      </c>
      <c r="D215" s="26">
        <f>+[3]BS17A!$U51</f>
        <v>33500</v>
      </c>
      <c r="E215" s="97">
        <f>+[3]BS17A!$V51</f>
        <v>3048500</v>
      </c>
      <c r="F215" s="21"/>
    </row>
    <row r="216" spans="1:6" ht="12.75" customHeight="1" x14ac:dyDescent="0.2">
      <c r="A216" s="202" t="s">
        <v>319</v>
      </c>
      <c r="B216" s="176" t="s">
        <v>320</v>
      </c>
      <c r="C216" s="132">
        <f>+[3]BS17A!D52</f>
        <v>27</v>
      </c>
      <c r="D216" s="109"/>
      <c r="E216" s="97">
        <f>+[3]BS17A!V52</f>
        <v>225720</v>
      </c>
      <c r="F216" s="21"/>
    </row>
    <row r="217" spans="1:6" ht="12.75" customHeight="1" x14ac:dyDescent="0.2">
      <c r="A217" s="181" t="s">
        <v>321</v>
      </c>
      <c r="B217" s="178" t="s">
        <v>322</v>
      </c>
      <c r="C217" s="142">
        <f>+[3]BS17A!$D1861</f>
        <v>27</v>
      </c>
      <c r="D217" s="33">
        <f>+[3]BS17A!$U1861</f>
        <v>27160</v>
      </c>
      <c r="E217" s="102">
        <f>+[3]BS17A!$V1861</f>
        <v>733320</v>
      </c>
      <c r="F217" s="21"/>
    </row>
    <row r="218" spans="1:6" ht="12.75" x14ac:dyDescent="0.2">
      <c r="A218" s="187"/>
      <c r="B218" s="186" t="s">
        <v>323</v>
      </c>
      <c r="C218" s="35">
        <f>SUM(C209:C217)</f>
        <v>1098</v>
      </c>
      <c r="D218" s="100"/>
      <c r="E218" s="108">
        <f>SUM(E209:E217)</f>
        <v>6602980</v>
      </c>
      <c r="F218" s="21"/>
    </row>
    <row r="219" spans="1:6" ht="17.25" customHeight="1" x14ac:dyDescent="0.2">
      <c r="A219" s="21"/>
      <c r="B219" s="21"/>
      <c r="C219" s="21"/>
      <c r="D219" s="21"/>
      <c r="E219" s="21"/>
      <c r="F219" s="21"/>
    </row>
    <row r="220" spans="1:6" ht="18" customHeight="1" x14ac:dyDescent="0.2">
      <c r="A220" s="21"/>
      <c r="B220" s="21"/>
      <c r="C220" s="21"/>
      <c r="D220" s="21"/>
      <c r="E220" s="21"/>
      <c r="F220" s="21"/>
    </row>
    <row r="221" spans="1:6" ht="27.75" customHeight="1" x14ac:dyDescent="0.2">
      <c r="A221" s="563" t="s">
        <v>324</v>
      </c>
      <c r="B221" s="564"/>
      <c r="C221" s="565"/>
      <c r="D221" s="21"/>
      <c r="E221" s="21"/>
      <c r="F221" s="18"/>
    </row>
    <row r="222" spans="1:6" ht="42.75" customHeight="1" x14ac:dyDescent="0.2">
      <c r="A222" s="1" t="s">
        <v>8</v>
      </c>
      <c r="B222" s="1" t="s">
        <v>10</v>
      </c>
      <c r="C222" s="1" t="s">
        <v>12</v>
      </c>
      <c r="D222" s="18"/>
      <c r="E222" s="21"/>
      <c r="F222" s="21"/>
    </row>
    <row r="223" spans="1:6" ht="15" customHeight="1" x14ac:dyDescent="0.2">
      <c r="A223" s="179" t="s">
        <v>325</v>
      </c>
      <c r="B223" s="197" t="s">
        <v>326</v>
      </c>
      <c r="C223" s="110"/>
      <c r="D223" s="111"/>
      <c r="E223" s="21"/>
      <c r="F223" s="21"/>
    </row>
    <row r="224" spans="1:6" ht="15" customHeight="1" x14ac:dyDescent="0.2">
      <c r="A224" s="200" t="s">
        <v>327</v>
      </c>
      <c r="B224" s="198" t="s">
        <v>328</v>
      </c>
      <c r="C224" s="112"/>
      <c r="D224" s="111"/>
      <c r="E224" s="21"/>
      <c r="F224" s="21"/>
    </row>
    <row r="225" spans="1:7" ht="18" customHeight="1" x14ac:dyDescent="0.2">
      <c r="A225" s="201"/>
      <c r="B225" s="199" t="s">
        <v>329</v>
      </c>
      <c r="C225" s="162">
        <f>SUM(C223:C224)</f>
        <v>0</v>
      </c>
      <c r="D225" s="111"/>
      <c r="E225" s="21"/>
      <c r="F225" s="21"/>
    </row>
    <row r="226" spans="1:7" ht="18" customHeight="1" x14ac:dyDescent="0.2">
      <c r="A226" s="21"/>
      <c r="B226" s="21"/>
      <c r="C226" s="21"/>
      <c r="D226" s="111"/>
      <c r="E226" s="111"/>
      <c r="F226" s="111"/>
    </row>
    <row r="227" spans="1:7" ht="18" customHeight="1" x14ac:dyDescent="0.2">
      <c r="A227" s="21"/>
      <c r="B227" s="21"/>
      <c r="C227" s="21"/>
      <c r="D227" s="21"/>
      <c r="E227" s="21"/>
      <c r="F227" s="111"/>
      <c r="G227" s="113"/>
    </row>
    <row r="228" spans="1:7" ht="18" customHeight="1" x14ac:dyDescent="0.2">
      <c r="A228" s="549" t="s">
        <v>330</v>
      </c>
      <c r="B228" s="550"/>
      <c r="C228" s="550"/>
      <c r="D228" s="550"/>
      <c r="E228" s="551"/>
      <c r="F228" s="111"/>
      <c r="G228" s="113"/>
    </row>
    <row r="229" spans="1:7" ht="56.25" customHeight="1" x14ac:dyDescent="0.2">
      <c r="A229" s="1" t="s">
        <v>8</v>
      </c>
      <c r="B229" s="1" t="s">
        <v>9</v>
      </c>
      <c r="C229" s="235" t="s">
        <v>10</v>
      </c>
      <c r="D229" s="3" t="s">
        <v>11</v>
      </c>
      <c r="E229" s="237" t="s">
        <v>12</v>
      </c>
      <c r="F229" s="111"/>
      <c r="G229" s="113"/>
    </row>
    <row r="230" spans="1:7" ht="15" customHeight="1" x14ac:dyDescent="0.2">
      <c r="A230" s="179" t="s">
        <v>331</v>
      </c>
      <c r="B230" s="196" t="s">
        <v>332</v>
      </c>
      <c r="C230" s="160">
        <f>+[3]BS17A!$D1941</f>
        <v>524</v>
      </c>
      <c r="D230" s="31">
        <f>+[3]BS17A!$U1941</f>
        <v>18750</v>
      </c>
      <c r="E230" s="96">
        <f>+[3]BS17A!$V1941</f>
        <v>9825000</v>
      </c>
      <c r="F230" s="21"/>
    </row>
    <row r="231" spans="1:7" ht="15" customHeight="1" x14ac:dyDescent="0.2">
      <c r="A231" s="181" t="s">
        <v>333</v>
      </c>
      <c r="B231" s="178" t="s">
        <v>334</v>
      </c>
      <c r="C231" s="161">
        <f>+[3]BS17A!$D1942</f>
        <v>0</v>
      </c>
      <c r="D231" s="33">
        <f>+[3]BS17A!$U1942</f>
        <v>235010</v>
      </c>
      <c r="E231" s="102">
        <f>+[3]BS17A!$V1942</f>
        <v>0</v>
      </c>
      <c r="F231" s="21"/>
    </row>
    <row r="232" spans="1:7" ht="18" customHeight="1" x14ac:dyDescent="0.2">
      <c r="A232" s="187"/>
      <c r="B232" s="186" t="s">
        <v>335</v>
      </c>
      <c r="C232" s="35">
        <f>SUM(C230:C231)</f>
        <v>524</v>
      </c>
      <c r="D232" s="100"/>
      <c r="E232" s="101">
        <f>SUM(E230:E231)</f>
        <v>9825000</v>
      </c>
      <c r="F232" s="21"/>
    </row>
    <row r="233" spans="1:7" ht="18" customHeight="1" x14ac:dyDescent="0.2">
      <c r="A233" s="114"/>
      <c r="B233" s="115"/>
      <c r="C233" s="116"/>
      <c r="D233" s="114"/>
      <c r="E233" s="114"/>
      <c r="F233" s="21"/>
    </row>
    <row r="234" spans="1:7" ht="18" customHeight="1" x14ac:dyDescent="0.2">
      <c r="A234" s="114"/>
      <c r="B234" s="115"/>
      <c r="C234" s="116"/>
      <c r="D234" s="114"/>
      <c r="E234" s="114"/>
      <c r="F234" s="21"/>
    </row>
    <row r="235" spans="1:7" ht="18" customHeight="1" x14ac:dyDescent="0.2">
      <c r="A235" s="557" t="s">
        <v>336</v>
      </c>
      <c r="B235" s="550"/>
      <c r="C235" s="550"/>
      <c r="D235" s="550"/>
      <c r="E235" s="551"/>
      <c r="F235" s="21"/>
    </row>
    <row r="236" spans="1:7" ht="41.25" customHeight="1" x14ac:dyDescent="0.2">
      <c r="A236" s="1" t="s">
        <v>8</v>
      </c>
      <c r="B236" s="1" t="s">
        <v>9</v>
      </c>
      <c r="C236" s="235" t="s">
        <v>10</v>
      </c>
      <c r="D236" s="3" t="s">
        <v>11</v>
      </c>
      <c r="E236" s="237" t="s">
        <v>12</v>
      </c>
      <c r="F236" s="21"/>
    </row>
    <row r="237" spans="1:7" ht="18" customHeight="1" x14ac:dyDescent="0.2">
      <c r="A237" s="93" t="s">
        <v>337</v>
      </c>
      <c r="B237" s="43" t="s">
        <v>338</v>
      </c>
      <c r="C237" s="117">
        <f>[3]BS17A!D768</f>
        <v>666</v>
      </c>
      <c r="D237" s="118"/>
      <c r="E237" s="119">
        <f>[3]BS17A!V768</f>
        <v>4554480</v>
      </c>
      <c r="F237" s="21"/>
    </row>
    <row r="238" spans="1:7" ht="18" customHeight="1" x14ac:dyDescent="0.2">
      <c r="A238" s="114"/>
      <c r="B238" s="115"/>
      <c r="C238" s="116"/>
      <c r="D238" s="114"/>
      <c r="E238" s="114"/>
      <c r="F238" s="21"/>
    </row>
    <row r="239" spans="1:7" ht="18" customHeight="1" x14ac:dyDescent="0.2">
      <c r="A239" s="557" t="s">
        <v>339</v>
      </c>
      <c r="B239" s="558"/>
      <c r="C239" s="558"/>
      <c r="D239" s="558"/>
      <c r="E239" s="559"/>
      <c r="F239" s="21"/>
    </row>
    <row r="240" spans="1:7" ht="43.5" customHeight="1" x14ac:dyDescent="0.2">
      <c r="A240" s="1" t="s">
        <v>8</v>
      </c>
      <c r="B240" s="235" t="s">
        <v>340</v>
      </c>
      <c r="C240" s="2" t="s">
        <v>341</v>
      </c>
      <c r="D240" s="3" t="s">
        <v>11</v>
      </c>
      <c r="E240" s="237" t="s">
        <v>12</v>
      </c>
      <c r="F240" s="21"/>
    </row>
    <row r="241" spans="1:6" ht="15" customHeight="1" x14ac:dyDescent="0.2">
      <c r="A241" s="30" t="s">
        <v>342</v>
      </c>
      <c r="B241" s="144" t="s">
        <v>343</v>
      </c>
      <c r="C241" s="135">
        <f>+[3]BS17A!$D1944</f>
        <v>0</v>
      </c>
      <c r="D241" s="31">
        <f>+[3]BS17A!$U1944</f>
        <v>240030</v>
      </c>
      <c r="E241" s="96">
        <f>+[3]BS17A!$V1944</f>
        <v>0</v>
      </c>
      <c r="F241" s="21"/>
    </row>
    <row r="242" spans="1:6" ht="15" customHeight="1" x14ac:dyDescent="0.2">
      <c r="A242" s="25" t="s">
        <v>344</v>
      </c>
      <c r="B242" s="145" t="s">
        <v>345</v>
      </c>
      <c r="C242" s="132">
        <f>+[3]BS17A!$D1945</f>
        <v>0</v>
      </c>
      <c r="D242" s="26">
        <f>+[3]BS17A!$U1945</f>
        <v>34110</v>
      </c>
      <c r="E242" s="97">
        <f>+[3]BS17A!$V1945</f>
        <v>0</v>
      </c>
      <c r="F242" s="21"/>
    </row>
    <row r="243" spans="1:6" ht="15" customHeight="1" x14ac:dyDescent="0.2">
      <c r="A243" s="25" t="s">
        <v>346</v>
      </c>
      <c r="B243" s="145" t="s">
        <v>347</v>
      </c>
      <c r="C243" s="132">
        <f>+[3]BS17A!$D1946</f>
        <v>0</v>
      </c>
      <c r="D243" s="26">
        <f>+[3]BS17A!$U1946</f>
        <v>128660</v>
      </c>
      <c r="E243" s="97">
        <f>+[3]BS17A!$V1946</f>
        <v>0</v>
      </c>
      <c r="F243" s="21"/>
    </row>
    <row r="244" spans="1:6" ht="15" customHeight="1" x14ac:dyDescent="0.2">
      <c r="A244" s="25" t="s">
        <v>348</v>
      </c>
      <c r="B244" s="145" t="s">
        <v>349</v>
      </c>
      <c r="C244" s="132">
        <f>+[3]BS17A!$D1947</f>
        <v>0</v>
      </c>
      <c r="D244" s="26">
        <f>+[3]BS17A!$U1947</f>
        <v>128660</v>
      </c>
      <c r="E244" s="97">
        <f>+[3]BS17A!$V1947</f>
        <v>0</v>
      </c>
      <c r="F244" s="21"/>
    </row>
    <row r="245" spans="1:6" ht="15" customHeight="1" x14ac:dyDescent="0.2">
      <c r="A245" s="25" t="s">
        <v>350</v>
      </c>
      <c r="B245" s="145" t="s">
        <v>351</v>
      </c>
      <c r="C245" s="132">
        <f>+[3]BS17A!$D1948</f>
        <v>0</v>
      </c>
      <c r="D245" s="26">
        <f>+[3]BS17A!$U1948</f>
        <v>234230</v>
      </c>
      <c r="E245" s="97">
        <f>+[3]BS17A!$V1948</f>
        <v>0</v>
      </c>
      <c r="F245" s="21"/>
    </row>
    <row r="246" spans="1:6" ht="15" customHeight="1" x14ac:dyDescent="0.2">
      <c r="A246" s="25" t="s">
        <v>352</v>
      </c>
      <c r="B246" s="145" t="s">
        <v>353</v>
      </c>
      <c r="C246" s="132">
        <f>+[3]BS17A!$D1949</f>
        <v>0</v>
      </c>
      <c r="D246" s="26">
        <f>+[3]BS17A!$U1949</f>
        <v>359460</v>
      </c>
      <c r="E246" s="97">
        <f>+[3]BS17A!$V1949</f>
        <v>0</v>
      </c>
      <c r="F246" s="21"/>
    </row>
    <row r="247" spans="1:6" ht="15" customHeight="1" x14ac:dyDescent="0.2">
      <c r="A247" s="25" t="s">
        <v>354</v>
      </c>
      <c r="B247" s="145" t="s">
        <v>355</v>
      </c>
      <c r="C247" s="132">
        <f>+[3]BS17A!$D1950</f>
        <v>0</v>
      </c>
      <c r="D247" s="26">
        <f>+[3]BS17A!$U1950</f>
        <v>613210</v>
      </c>
      <c r="E247" s="97">
        <f>+[3]BS17A!$V1950</f>
        <v>0</v>
      </c>
      <c r="F247" s="21"/>
    </row>
    <row r="248" spans="1:6" ht="15" customHeight="1" x14ac:dyDescent="0.2">
      <c r="A248" s="48" t="s">
        <v>356</v>
      </c>
      <c r="B248" s="145" t="s">
        <v>357</v>
      </c>
      <c r="C248" s="132">
        <f>+[3]BS17A!$D1951</f>
        <v>0</v>
      </c>
      <c r="D248" s="26">
        <f>+[3]BS17A!$U1951</f>
        <v>127720</v>
      </c>
      <c r="E248" s="97">
        <f>+[3]BS17A!$V1951</f>
        <v>0</v>
      </c>
      <c r="F248" s="21"/>
    </row>
    <row r="249" spans="1:6" ht="15" customHeight="1" x14ac:dyDescent="0.2">
      <c r="A249" s="48" t="s">
        <v>358</v>
      </c>
      <c r="B249" s="145" t="s">
        <v>359</v>
      </c>
      <c r="C249" s="132">
        <f>+[3]BS17A!$D1952</f>
        <v>0</v>
      </c>
      <c r="D249" s="26">
        <f>+[3]BS17A!$U1952</f>
        <v>344230</v>
      </c>
      <c r="E249" s="97">
        <f>+[3]BS17A!$V1952</f>
        <v>0</v>
      </c>
      <c r="F249" s="21"/>
    </row>
    <row r="250" spans="1:6" ht="15" customHeight="1" x14ac:dyDescent="0.2">
      <c r="A250" s="48" t="s">
        <v>360</v>
      </c>
      <c r="B250" s="145" t="s">
        <v>361</v>
      </c>
      <c r="C250" s="156">
        <f>+[3]BS17A!$D1953</f>
        <v>0</v>
      </c>
      <c r="D250" s="28">
        <f>+[3]BS17A!$U1953</f>
        <v>144940</v>
      </c>
      <c r="E250" s="120">
        <f>+[3]BS17A!$V1953</f>
        <v>0</v>
      </c>
      <c r="F250" s="21"/>
    </row>
    <row r="251" spans="1:6" ht="15" customHeight="1" x14ac:dyDescent="0.2">
      <c r="A251" s="48" t="s">
        <v>362</v>
      </c>
      <c r="B251" s="145" t="s">
        <v>363</v>
      </c>
      <c r="C251" s="156">
        <f>+[3]BS17A!$D1954</f>
        <v>0</v>
      </c>
      <c r="D251" s="28">
        <f>+[3]BS17A!$U1954</f>
        <v>125950</v>
      </c>
      <c r="E251" s="120">
        <f>+[3]BS17A!$V1954</f>
        <v>0</v>
      </c>
      <c r="F251" s="21"/>
    </row>
    <row r="252" spans="1:6" ht="15" customHeight="1" x14ac:dyDescent="0.2">
      <c r="A252" s="48" t="s">
        <v>364</v>
      </c>
      <c r="B252" s="145" t="s">
        <v>365</v>
      </c>
      <c r="C252" s="156">
        <f>+[3]BS17A!$D1955</f>
        <v>0</v>
      </c>
      <c r="D252" s="28">
        <f>+[3]BS17A!$U1955</f>
        <v>191490</v>
      </c>
      <c r="E252" s="120">
        <f>+[3]BS17A!$V1955</f>
        <v>0</v>
      </c>
      <c r="F252" s="21"/>
    </row>
    <row r="253" spans="1:6" ht="15" customHeight="1" x14ac:dyDescent="0.2">
      <c r="A253" s="48" t="s">
        <v>366</v>
      </c>
      <c r="B253" s="145" t="s">
        <v>367</v>
      </c>
      <c r="C253" s="156">
        <f>+[3]BS17A!$D1956</f>
        <v>0</v>
      </c>
      <c r="D253" s="28">
        <f>+[3]BS17A!$U1956</f>
        <v>50390</v>
      </c>
      <c r="E253" s="120">
        <f>+[3]BS17A!$V1956</f>
        <v>0</v>
      </c>
      <c r="F253" s="21"/>
    </row>
    <row r="254" spans="1:6" ht="15" customHeight="1" x14ac:dyDescent="0.2">
      <c r="A254" s="79" t="s">
        <v>368</v>
      </c>
      <c r="B254" s="155" t="s">
        <v>369</v>
      </c>
      <c r="C254" s="142">
        <f>+[3]BS17A!$D1957</f>
        <v>0</v>
      </c>
      <c r="D254" s="33">
        <f>+[3]BS17A!$U1957</f>
        <v>37660</v>
      </c>
      <c r="E254" s="102">
        <f>+[3]BS17A!$V1957</f>
        <v>0</v>
      </c>
      <c r="F254" s="21"/>
    </row>
    <row r="255" spans="1:6" ht="15" customHeight="1" x14ac:dyDescent="0.2">
      <c r="A255" s="552" t="s">
        <v>370</v>
      </c>
      <c r="B255" s="553"/>
      <c r="C255" s="553"/>
      <c r="D255" s="553"/>
      <c r="E255" s="554"/>
      <c r="F255" s="21"/>
    </row>
    <row r="256" spans="1:6" ht="15" customHeight="1" x14ac:dyDescent="0.2">
      <c r="A256" s="179" t="s">
        <v>371</v>
      </c>
      <c r="B256" s="193" t="s">
        <v>343</v>
      </c>
      <c r="C256" s="135">
        <f>+[3]BS17A!$D1958</f>
        <v>0</v>
      </c>
      <c r="D256" s="31">
        <f>+[3]BS17A!$U1958</f>
        <v>206500</v>
      </c>
      <c r="E256" s="96">
        <f>+[3]BS17A!$V1958</f>
        <v>0</v>
      </c>
      <c r="F256" s="21"/>
    </row>
    <row r="257" spans="1:6" ht="15" customHeight="1" x14ac:dyDescent="0.2">
      <c r="A257" s="180" t="s">
        <v>372</v>
      </c>
      <c r="B257" s="194" t="s">
        <v>373</v>
      </c>
      <c r="C257" s="132">
        <f>+[3]BS17A!$D1959</f>
        <v>0</v>
      </c>
      <c r="D257" s="26">
        <f>+[3]BS17A!$U1959</f>
        <v>1228440</v>
      </c>
      <c r="E257" s="97">
        <f>+[3]BS17A!$V1959</f>
        <v>0</v>
      </c>
      <c r="F257" s="21"/>
    </row>
    <row r="258" spans="1:6" ht="15" customHeight="1" x14ac:dyDescent="0.2">
      <c r="A258" s="180" t="s">
        <v>374</v>
      </c>
      <c r="B258" s="194" t="s">
        <v>375</v>
      </c>
      <c r="C258" s="132">
        <f>+[3]BS17A!$D1960</f>
        <v>0</v>
      </c>
      <c r="D258" s="26">
        <f>+[3]BS17A!$U1960</f>
        <v>185340</v>
      </c>
      <c r="E258" s="97">
        <f>+[3]BS17A!$V1960</f>
        <v>0</v>
      </c>
      <c r="F258" s="21"/>
    </row>
    <row r="259" spans="1:6" ht="15" customHeight="1" x14ac:dyDescent="0.2">
      <c r="A259" s="180" t="s">
        <v>376</v>
      </c>
      <c r="B259" s="194" t="s">
        <v>377</v>
      </c>
      <c r="C259" s="132">
        <f>+[3]BS17A!$D1961</f>
        <v>0</v>
      </c>
      <c r="D259" s="26">
        <f>+[3]BS17A!$U1961</f>
        <v>163900</v>
      </c>
      <c r="E259" s="97">
        <f>+[3]BS17A!$V1961</f>
        <v>0</v>
      </c>
      <c r="F259" s="21"/>
    </row>
    <row r="260" spans="1:6" ht="15" customHeight="1" x14ac:dyDescent="0.2">
      <c r="A260" s="180" t="s">
        <v>378</v>
      </c>
      <c r="B260" s="194" t="s">
        <v>379</v>
      </c>
      <c r="C260" s="132">
        <f>+[3]BS17A!$D1962</f>
        <v>0</v>
      </c>
      <c r="D260" s="26">
        <f>+[3]BS17A!$U1962</f>
        <v>332720</v>
      </c>
      <c r="E260" s="97">
        <f>+[3]BS17A!$V1962</f>
        <v>0</v>
      </c>
      <c r="F260" s="21"/>
    </row>
    <row r="261" spans="1:6" ht="15" customHeight="1" x14ac:dyDescent="0.2">
      <c r="A261" s="180" t="s">
        <v>380</v>
      </c>
      <c r="B261" s="194" t="s">
        <v>381</v>
      </c>
      <c r="C261" s="132">
        <f>+[3]BS17A!$D1963</f>
        <v>0</v>
      </c>
      <c r="D261" s="26">
        <f>+[3]BS17A!$U1963</f>
        <v>1106400</v>
      </c>
      <c r="E261" s="97">
        <f>+[3]BS17A!$V1963</f>
        <v>0</v>
      </c>
      <c r="F261" s="21"/>
    </row>
    <row r="262" spans="1:6" ht="15" customHeight="1" x14ac:dyDescent="0.2">
      <c r="A262" s="180" t="s">
        <v>382</v>
      </c>
      <c r="B262" s="194" t="s">
        <v>383</v>
      </c>
      <c r="C262" s="132">
        <f>+[3]BS17A!$D1964</f>
        <v>0</v>
      </c>
      <c r="D262" s="26">
        <f>+[3]BS17A!$U1964</f>
        <v>1137010</v>
      </c>
      <c r="E262" s="97">
        <f>+[3]BS17A!$V1964</f>
        <v>0</v>
      </c>
      <c r="F262" s="21"/>
    </row>
    <row r="263" spans="1:6" ht="15" customHeight="1" x14ac:dyDescent="0.2">
      <c r="A263" s="180" t="s">
        <v>384</v>
      </c>
      <c r="B263" s="194" t="s">
        <v>385</v>
      </c>
      <c r="C263" s="132">
        <f>+[3]BS17A!$D1965</f>
        <v>0</v>
      </c>
      <c r="D263" s="26">
        <f>+[3]BS17A!$U1965</f>
        <v>900260</v>
      </c>
      <c r="E263" s="97">
        <f>+[3]BS17A!$V1965</f>
        <v>0</v>
      </c>
      <c r="F263" s="21"/>
    </row>
    <row r="264" spans="1:6" ht="15" customHeight="1" x14ac:dyDescent="0.2">
      <c r="A264" s="180" t="s">
        <v>386</v>
      </c>
      <c r="B264" s="194" t="s">
        <v>387</v>
      </c>
      <c r="C264" s="132">
        <f>+[3]BS17A!$D1966</f>
        <v>0</v>
      </c>
      <c r="D264" s="26">
        <f>+[3]BS17A!$U1966</f>
        <v>948790</v>
      </c>
      <c r="E264" s="97">
        <f>+[3]BS17A!$V1966</f>
        <v>0</v>
      </c>
      <c r="F264" s="21"/>
    </row>
    <row r="265" spans="1:6" ht="15" customHeight="1" x14ac:dyDescent="0.2">
      <c r="A265" s="180" t="s">
        <v>388</v>
      </c>
      <c r="B265" s="194" t="s">
        <v>389</v>
      </c>
      <c r="C265" s="132">
        <f>+[3]BS17A!$D1967</f>
        <v>0</v>
      </c>
      <c r="D265" s="26">
        <f>+[3]BS17A!$U1967</f>
        <v>374290</v>
      </c>
      <c r="E265" s="97">
        <f>+[3]BS17A!$V1967</f>
        <v>0</v>
      </c>
      <c r="F265" s="21"/>
    </row>
    <row r="266" spans="1:6" ht="15" customHeight="1" x14ac:dyDescent="0.2">
      <c r="A266" s="180" t="s">
        <v>390</v>
      </c>
      <c r="B266" s="194" t="s">
        <v>391</v>
      </c>
      <c r="C266" s="132">
        <f>+[3]BS17A!$D1968</f>
        <v>0</v>
      </c>
      <c r="D266" s="26">
        <f>+[3]BS17A!$U1968</f>
        <v>89640</v>
      </c>
      <c r="E266" s="97">
        <f>+[3]BS17A!$V1968</f>
        <v>0</v>
      </c>
      <c r="F266" s="21"/>
    </row>
    <row r="267" spans="1:6" ht="15" customHeight="1" x14ac:dyDescent="0.2">
      <c r="A267" s="180" t="s">
        <v>392</v>
      </c>
      <c r="B267" s="194" t="s">
        <v>393</v>
      </c>
      <c r="C267" s="132">
        <f>+[3]BS17A!$D1969</f>
        <v>0</v>
      </c>
      <c r="D267" s="26">
        <f>+[3]BS17A!$U1969</f>
        <v>267430</v>
      </c>
      <c r="E267" s="97">
        <f>+[3]BS17A!$V1969</f>
        <v>0</v>
      </c>
      <c r="F267" s="21"/>
    </row>
    <row r="268" spans="1:6" ht="15" customHeight="1" x14ac:dyDescent="0.2">
      <c r="A268" s="180" t="s">
        <v>394</v>
      </c>
      <c r="B268" s="177" t="s">
        <v>395</v>
      </c>
      <c r="C268" s="132">
        <f>+[3]BS17A!$D1970</f>
        <v>0</v>
      </c>
      <c r="D268" s="26">
        <f>+[3]BS17A!$U1970</f>
        <v>75610</v>
      </c>
      <c r="E268" s="97">
        <f>+[3]BS17A!$V1970</f>
        <v>0</v>
      </c>
      <c r="F268" s="21"/>
    </row>
    <row r="269" spans="1:6" ht="15" customHeight="1" x14ac:dyDescent="0.2">
      <c r="A269" s="180" t="s">
        <v>396</v>
      </c>
      <c r="B269" s="177" t="s">
        <v>397</v>
      </c>
      <c r="C269" s="132">
        <f>+[3]BS17A!$D1971</f>
        <v>0</v>
      </c>
      <c r="D269" s="26">
        <f>+[3]BS17A!$U1971</f>
        <v>1299270</v>
      </c>
      <c r="E269" s="97">
        <f>+[3]BS17A!$V1971</f>
        <v>0</v>
      </c>
      <c r="F269" s="21"/>
    </row>
    <row r="270" spans="1:6" ht="15" customHeight="1" x14ac:dyDescent="0.2">
      <c r="A270" s="180" t="s">
        <v>398</v>
      </c>
      <c r="B270" s="177" t="s">
        <v>399</v>
      </c>
      <c r="C270" s="132">
        <f>+[3]BS17A!$D1972</f>
        <v>0</v>
      </c>
      <c r="D270" s="26">
        <f>+[3]BS17A!$U1972</f>
        <v>303800</v>
      </c>
      <c r="E270" s="97">
        <f>+[3]BS17A!$V1972</f>
        <v>0</v>
      </c>
      <c r="F270" s="21"/>
    </row>
    <row r="271" spans="1:6" ht="15" customHeight="1" x14ac:dyDescent="0.2">
      <c r="A271" s="180" t="s">
        <v>400</v>
      </c>
      <c r="B271" s="177" t="s">
        <v>401</v>
      </c>
      <c r="C271" s="132">
        <f>+[3]BS17A!$D1973</f>
        <v>0</v>
      </c>
      <c r="D271" s="26">
        <f>+[3]BS17A!$U1973</f>
        <v>1017740</v>
      </c>
      <c r="E271" s="97">
        <f>+[3]BS17A!$V1973</f>
        <v>0</v>
      </c>
      <c r="F271" s="21"/>
    </row>
    <row r="272" spans="1:6" ht="15" customHeight="1" x14ac:dyDescent="0.2">
      <c r="A272" s="180" t="s">
        <v>402</v>
      </c>
      <c r="B272" s="195" t="s">
        <v>403</v>
      </c>
      <c r="C272" s="132">
        <f>+[3]BS17A!$D1974</f>
        <v>0</v>
      </c>
      <c r="D272" s="26">
        <f>+[3]BS17A!$U1974</f>
        <v>623060</v>
      </c>
      <c r="E272" s="97">
        <f>+[3]BS17A!$V1974</f>
        <v>0</v>
      </c>
      <c r="F272" s="21"/>
    </row>
    <row r="273" spans="1:10" ht="15" customHeight="1" x14ac:dyDescent="0.2">
      <c r="A273" s="181" t="s">
        <v>404</v>
      </c>
      <c r="B273" s="195" t="s">
        <v>405</v>
      </c>
      <c r="C273" s="142">
        <f>+[3]BS17A!$D1975</f>
        <v>0</v>
      </c>
      <c r="D273" s="28">
        <f>+[3]BS17A!$U1975</f>
        <v>508460</v>
      </c>
      <c r="E273" s="120">
        <f>+[3]BS17A!$V1975</f>
        <v>0</v>
      </c>
      <c r="F273" s="21"/>
    </row>
    <row r="274" spans="1:10" ht="15" customHeight="1" x14ac:dyDescent="0.2">
      <c r="A274" s="552" t="s">
        <v>406</v>
      </c>
      <c r="B274" s="553"/>
      <c r="C274" s="553"/>
      <c r="D274" s="553"/>
      <c r="E274" s="554"/>
      <c r="F274" s="21"/>
    </row>
    <row r="275" spans="1:10" ht="15" customHeight="1" x14ac:dyDescent="0.2">
      <c r="A275" s="179" t="s">
        <v>407</v>
      </c>
      <c r="B275" s="188" t="s">
        <v>408</v>
      </c>
      <c r="C275" s="158">
        <f>+[3]BS17A!$D1976</f>
        <v>0</v>
      </c>
      <c r="D275" s="23">
        <f>[3]BS17A!U1976</f>
        <v>274090</v>
      </c>
      <c r="E275" s="121">
        <f>+[3]BS17A!$V1976</f>
        <v>0</v>
      </c>
      <c r="F275" s="21"/>
    </row>
    <row r="276" spans="1:10" ht="15" customHeight="1" x14ac:dyDescent="0.2">
      <c r="A276" s="180" t="s">
        <v>409</v>
      </c>
      <c r="B276" s="177" t="s">
        <v>410</v>
      </c>
      <c r="C276" s="132">
        <f>+[3]BS17A!$D1977</f>
        <v>0</v>
      </c>
      <c r="D276" s="26">
        <f>[3]BS17A!U1977</f>
        <v>159800</v>
      </c>
      <c r="E276" s="97">
        <f>+[3]BS17A!$V1977</f>
        <v>0</v>
      </c>
      <c r="F276" s="21"/>
    </row>
    <row r="277" spans="1:10" ht="15" customHeight="1" x14ac:dyDescent="0.2">
      <c r="A277" s="180" t="s">
        <v>411</v>
      </c>
      <c r="B277" s="177" t="s">
        <v>412</v>
      </c>
      <c r="C277" s="132">
        <f>+[3]BS17A!$D1978</f>
        <v>0</v>
      </c>
      <c r="D277" s="26">
        <f>[3]BS17A!U1978</f>
        <v>386120</v>
      </c>
      <c r="E277" s="97">
        <f>+[3]BS17A!$V1978</f>
        <v>0</v>
      </c>
      <c r="F277" s="21"/>
    </row>
    <row r="278" spans="1:10" ht="15" customHeight="1" x14ac:dyDescent="0.2">
      <c r="A278" s="180" t="s">
        <v>413</v>
      </c>
      <c r="B278" s="177" t="s">
        <v>414</v>
      </c>
      <c r="C278" s="132">
        <f>+[3]BS17A!$D1979</f>
        <v>0</v>
      </c>
      <c r="D278" s="26">
        <f>[3]BS17A!U1979</f>
        <v>400140</v>
      </c>
      <c r="E278" s="97">
        <f>+[3]BS17A!$V1979</f>
        <v>0</v>
      </c>
      <c r="F278" s="21"/>
    </row>
    <row r="279" spans="1:10" ht="15" customHeight="1" x14ac:dyDescent="0.2">
      <c r="A279" s="181" t="s">
        <v>415</v>
      </c>
      <c r="B279" s="189" t="s">
        <v>416</v>
      </c>
      <c r="C279" s="142">
        <f>+[3]BS17A!$D1980</f>
        <v>0</v>
      </c>
      <c r="D279" s="33">
        <f>[3]BS17A!U1980</f>
        <v>250030</v>
      </c>
      <c r="E279" s="102">
        <f>+[3]BS17A!$V1980</f>
        <v>0</v>
      </c>
      <c r="F279" s="122"/>
    </row>
    <row r="280" spans="1:10" ht="15" customHeight="1" x14ac:dyDescent="0.2">
      <c r="A280" s="192" t="s">
        <v>417</v>
      </c>
      <c r="B280" s="190" t="s">
        <v>418</v>
      </c>
      <c r="C280" s="159">
        <f>+[3]BS17A!$D1981</f>
        <v>84</v>
      </c>
      <c r="D280" s="123">
        <f>[3]BS17A!U1981</f>
        <v>34000</v>
      </c>
      <c r="E280" s="119">
        <f>+[3]BS17A!$V1981</f>
        <v>2856000</v>
      </c>
      <c r="F280" s="122"/>
    </row>
    <row r="281" spans="1:10" ht="15" customHeight="1" x14ac:dyDescent="0.2">
      <c r="A281" s="187"/>
      <c r="B281" s="191" t="s">
        <v>419</v>
      </c>
      <c r="C281" s="35">
        <f>SUM(C241:C280)</f>
        <v>84</v>
      </c>
      <c r="D281" s="100"/>
      <c r="E281" s="101">
        <f>SUM(E241:E280)</f>
        <v>2856000</v>
      </c>
      <c r="F281" s="122"/>
    </row>
    <row r="282" spans="1:10" ht="18" customHeight="1" x14ac:dyDescent="0.2">
      <c r="A282" s="114"/>
      <c r="B282" s="21"/>
      <c r="C282" s="21"/>
      <c r="D282" s="114"/>
      <c r="E282" s="114"/>
      <c r="F282" s="21"/>
    </row>
    <row r="283" spans="1:10" ht="18" customHeight="1" x14ac:dyDescent="0.2">
      <c r="A283" s="114"/>
      <c r="B283" s="116"/>
      <c r="C283" s="116"/>
      <c r="D283" s="114"/>
      <c r="E283" s="114"/>
      <c r="F283" s="124"/>
      <c r="G283" s="125"/>
      <c r="J283" s="126"/>
    </row>
    <row r="284" spans="1:10" ht="12.75" customHeight="1" x14ac:dyDescent="0.2">
      <c r="A284" s="557" t="s">
        <v>420</v>
      </c>
      <c r="B284" s="558"/>
      <c r="C284" s="558"/>
      <c r="D284" s="558"/>
      <c r="E284" s="559"/>
      <c r="F284" s="21"/>
    </row>
    <row r="285" spans="1:10" ht="44.25" customHeight="1" x14ac:dyDescent="0.2">
      <c r="A285" s="1" t="s">
        <v>8</v>
      </c>
      <c r="B285" s="1" t="s">
        <v>420</v>
      </c>
      <c r="C285" s="235" t="s">
        <v>341</v>
      </c>
      <c r="D285" s="3" t="s">
        <v>11</v>
      </c>
      <c r="E285" s="237" t="s">
        <v>12</v>
      </c>
      <c r="F285" s="122"/>
    </row>
    <row r="286" spans="1:10" ht="15" customHeight="1" x14ac:dyDescent="0.2">
      <c r="A286" s="179" t="s">
        <v>421</v>
      </c>
      <c r="B286" s="183" t="s">
        <v>422</v>
      </c>
      <c r="C286" s="135">
        <f>+[3]BS17A!$D1983</f>
        <v>10</v>
      </c>
      <c r="D286" s="31">
        <f>+[3]BS17A!$U1983</f>
        <v>6690</v>
      </c>
      <c r="E286" s="96">
        <f>+[3]BS17A!$V1983</f>
        <v>66900</v>
      </c>
      <c r="F286" s="21"/>
    </row>
    <row r="287" spans="1:10" ht="15" customHeight="1" x14ac:dyDescent="0.2">
      <c r="A287" s="180" t="s">
        <v>423</v>
      </c>
      <c r="B287" s="184" t="s">
        <v>424</v>
      </c>
      <c r="C287" s="132">
        <f>+[3]BS17A!$D1984</f>
        <v>0</v>
      </c>
      <c r="D287" s="26">
        <f>+[3]BS17A!$U1984</f>
        <v>3560</v>
      </c>
      <c r="E287" s="97">
        <f>+[3]BS17A!$V1984</f>
        <v>0</v>
      </c>
      <c r="F287" s="21"/>
    </row>
    <row r="288" spans="1:10" ht="15" customHeight="1" x14ac:dyDescent="0.2">
      <c r="A288" s="180" t="s">
        <v>425</v>
      </c>
      <c r="B288" s="184" t="s">
        <v>426</v>
      </c>
      <c r="C288" s="132">
        <f>+[3]BS17A!$D1985</f>
        <v>1</v>
      </c>
      <c r="D288" s="26">
        <f>+[3]BS17A!$U1985</f>
        <v>13430</v>
      </c>
      <c r="E288" s="97">
        <f>+[3]BS17A!$V1985</f>
        <v>13430</v>
      </c>
      <c r="F288" s="21"/>
    </row>
    <row r="289" spans="1:7" ht="15" customHeight="1" x14ac:dyDescent="0.2">
      <c r="A289" s="180" t="s">
        <v>427</v>
      </c>
      <c r="B289" s="184" t="s">
        <v>428</v>
      </c>
      <c r="C289" s="132">
        <f>+[3]BS17A!$D1986</f>
        <v>0</v>
      </c>
      <c r="D289" s="26">
        <f>+[3]BS17A!$U1986</f>
        <v>137660</v>
      </c>
      <c r="E289" s="97">
        <f>+[3]BS17A!$V1986</f>
        <v>0</v>
      </c>
      <c r="F289" s="21"/>
    </row>
    <row r="290" spans="1:7" ht="15" customHeight="1" x14ac:dyDescent="0.2">
      <c r="A290" s="181" t="s">
        <v>429</v>
      </c>
      <c r="B290" s="185" t="s">
        <v>430</v>
      </c>
      <c r="C290" s="142">
        <f>+[3]BS17A!$D1987</f>
        <v>1</v>
      </c>
      <c r="D290" s="33">
        <f>+[3]BS17A!$U1987</f>
        <v>756090</v>
      </c>
      <c r="E290" s="102">
        <f>+[3]BS17A!$V1987</f>
        <v>756090</v>
      </c>
      <c r="F290" s="21"/>
    </row>
    <row r="291" spans="1:7" ht="15" customHeight="1" x14ac:dyDescent="0.2">
      <c r="A291" s="187"/>
      <c r="B291" s="186" t="s">
        <v>431</v>
      </c>
      <c r="C291" s="68">
        <f>SUM(C286:C290)</f>
        <v>12</v>
      </c>
      <c r="D291" s="44"/>
      <c r="E291" s="69">
        <f>SUM(E286:E290)</f>
        <v>836420</v>
      </c>
      <c r="F291" s="21"/>
    </row>
    <row r="292" spans="1:7" ht="18" customHeight="1" x14ac:dyDescent="0.2">
      <c r="A292" s="114"/>
      <c r="B292" s="116"/>
      <c r="C292" s="114"/>
      <c r="D292" s="114"/>
      <c r="E292" s="114"/>
      <c r="F292" s="21"/>
    </row>
    <row r="293" spans="1:7" ht="18" customHeight="1" x14ac:dyDescent="0.2">
      <c r="A293" s="114"/>
      <c r="B293" s="116"/>
      <c r="C293" s="114"/>
      <c r="D293" s="114"/>
      <c r="E293" s="114"/>
      <c r="F293" s="127"/>
      <c r="G293" s="22"/>
    </row>
    <row r="294" spans="1:7" ht="12.75" x14ac:dyDescent="0.2">
      <c r="A294" s="552" t="s">
        <v>432</v>
      </c>
      <c r="B294" s="553"/>
      <c r="C294" s="553"/>
      <c r="D294" s="553"/>
      <c r="E294" s="554"/>
      <c r="F294" s="128"/>
      <c r="G294" s="22"/>
    </row>
    <row r="295" spans="1:7" ht="42.75" customHeight="1" x14ac:dyDescent="0.2">
      <c r="A295" s="1" t="s">
        <v>8</v>
      </c>
      <c r="B295" s="154" t="s">
        <v>432</v>
      </c>
      <c r="C295" s="8" t="s">
        <v>433</v>
      </c>
      <c r="D295" s="3" t="s">
        <v>11</v>
      </c>
      <c r="E295" s="237" t="s">
        <v>12</v>
      </c>
      <c r="F295" s="128"/>
      <c r="G295" s="22"/>
    </row>
    <row r="296" spans="1:7" ht="15" customHeight="1" x14ac:dyDescent="0.2">
      <c r="A296" s="179" t="s">
        <v>434</v>
      </c>
      <c r="B296" s="175" t="s">
        <v>435</v>
      </c>
      <c r="C296" s="135">
        <f>+[3]BS17A!$D1863</f>
        <v>258</v>
      </c>
      <c r="D296" s="31">
        <f>+[3]BS17A!$U1863</f>
        <v>17890</v>
      </c>
      <c r="E296" s="96">
        <f>+[3]BS17A!$V1863</f>
        <v>4615620</v>
      </c>
      <c r="F296" s="21"/>
    </row>
    <row r="297" spans="1:7" ht="15" customHeight="1" x14ac:dyDescent="0.2">
      <c r="A297" s="180" t="s">
        <v>436</v>
      </c>
      <c r="B297" s="176" t="s">
        <v>437</v>
      </c>
      <c r="C297" s="132">
        <f>+[3]BS17A!$D1864</f>
        <v>164</v>
      </c>
      <c r="D297" s="26">
        <f>+[3]BS17A!$U1864</f>
        <v>56280</v>
      </c>
      <c r="E297" s="97">
        <f>+[3]BS17A!$V1864</f>
        <v>9229920</v>
      </c>
      <c r="F297" s="21"/>
    </row>
    <row r="298" spans="1:7" ht="15" customHeight="1" x14ac:dyDescent="0.2">
      <c r="A298" s="180" t="s">
        <v>438</v>
      </c>
      <c r="B298" s="176" t="s">
        <v>439</v>
      </c>
      <c r="C298" s="132">
        <f>+[3]BS17A!$D1865</f>
        <v>0</v>
      </c>
      <c r="D298" s="26">
        <f>+[3]BS17A!$U1865</f>
        <v>69770</v>
      </c>
      <c r="E298" s="97">
        <f>+[3]BS17A!$V1865</f>
        <v>0</v>
      </c>
      <c r="F298" s="21"/>
    </row>
    <row r="299" spans="1:7" ht="15" customHeight="1" x14ac:dyDescent="0.2">
      <c r="A299" s="180" t="s">
        <v>440</v>
      </c>
      <c r="B299" s="176" t="s">
        <v>441</v>
      </c>
      <c r="C299" s="132">
        <f>+[3]BS17A!$D1866</f>
        <v>164</v>
      </c>
      <c r="D299" s="26">
        <f>+[3]BS17A!$U1866</f>
        <v>2450</v>
      </c>
      <c r="E299" s="97">
        <f>+[3]BS17A!$V1866</f>
        <v>401800</v>
      </c>
      <c r="F299" s="21"/>
    </row>
    <row r="300" spans="1:7" ht="15" customHeight="1" x14ac:dyDescent="0.2">
      <c r="A300" s="180" t="s">
        <v>442</v>
      </c>
      <c r="B300" s="176" t="s">
        <v>443</v>
      </c>
      <c r="C300" s="132">
        <f>+[3]BS17A!$D1867</f>
        <v>0</v>
      </c>
      <c r="D300" s="26">
        <f>+[3]BS17A!$U1867</f>
        <v>70</v>
      </c>
      <c r="E300" s="97">
        <f>+[3]BS17A!$V1867</f>
        <v>0</v>
      </c>
      <c r="F300" s="21"/>
    </row>
    <row r="301" spans="1:7" ht="15" customHeight="1" x14ac:dyDescent="0.2">
      <c r="A301" s="180" t="s">
        <v>444</v>
      </c>
      <c r="B301" s="177" t="s">
        <v>445</v>
      </c>
      <c r="C301" s="132">
        <f>+[3]BS17A!$D1868</f>
        <v>0</v>
      </c>
      <c r="D301" s="26">
        <f>+[3]BS17A!$U1868</f>
        <v>148120</v>
      </c>
      <c r="E301" s="97">
        <f>+[3]BS17A!$V1868</f>
        <v>0</v>
      </c>
      <c r="F301" s="21"/>
    </row>
    <row r="302" spans="1:7" ht="15" customHeight="1" x14ac:dyDescent="0.2">
      <c r="A302" s="181" t="s">
        <v>446</v>
      </c>
      <c r="B302" s="178" t="s">
        <v>447</v>
      </c>
      <c r="C302" s="142">
        <f>+[3]BS17A!$D1869</f>
        <v>0</v>
      </c>
      <c r="D302" s="33">
        <f>+[3]BS17A!$U1869</f>
        <v>10070</v>
      </c>
      <c r="E302" s="102">
        <f>+[3]BS17A!$V1869</f>
        <v>0</v>
      </c>
      <c r="F302" s="21"/>
    </row>
    <row r="303" spans="1:7" ht="15" customHeight="1" x14ac:dyDescent="0.2">
      <c r="A303" s="182"/>
      <c r="B303" s="575" t="s">
        <v>448</v>
      </c>
      <c r="C303" s="576"/>
      <c r="D303" s="118"/>
      <c r="E303" s="129">
        <f>SUM(E296:E302)</f>
        <v>14247340</v>
      </c>
      <c r="F303" s="21"/>
    </row>
    <row r="304" spans="1:7" ht="12.75" x14ac:dyDescent="0.2">
      <c r="A304" s="21"/>
      <c r="B304" s="21"/>
      <c r="C304" s="21"/>
      <c r="D304" s="21"/>
      <c r="E304" s="21"/>
      <c r="F304" s="111"/>
      <c r="G304" s="113"/>
    </row>
    <row r="305" spans="1:7" ht="12.75" x14ac:dyDescent="0.2">
      <c r="A305" s="21"/>
      <c r="B305" s="21"/>
      <c r="C305" s="21"/>
      <c r="D305" s="21"/>
      <c r="E305" s="21"/>
      <c r="F305" s="111"/>
      <c r="G305" s="113"/>
    </row>
    <row r="306" spans="1:7" ht="12.75" x14ac:dyDescent="0.2">
      <c r="A306" s="567" t="s">
        <v>449</v>
      </c>
      <c r="B306" s="568"/>
      <c r="C306" s="568"/>
      <c r="D306" s="568"/>
      <c r="E306" s="569"/>
      <c r="F306" s="111"/>
      <c r="G306" s="113"/>
    </row>
    <row r="307" spans="1:7" ht="12.75" x14ac:dyDescent="0.2">
      <c r="A307" s="63"/>
      <c r="B307" s="572" t="s">
        <v>450</v>
      </c>
      <c r="C307" s="573"/>
      <c r="D307" s="574"/>
      <c r="E307" s="130">
        <f>+E232+E237+E281+E291+E303</f>
        <v>32319240</v>
      </c>
      <c r="F307" s="21"/>
    </row>
    <row r="308" spans="1:7" ht="12.75" x14ac:dyDescent="0.2">
      <c r="A308" s="21"/>
      <c r="B308" s="21"/>
      <c r="C308" s="21"/>
      <c r="D308" s="21"/>
      <c r="E308" s="21"/>
      <c r="F308" s="111"/>
      <c r="G308" s="113"/>
    </row>
    <row r="309" spans="1:7" ht="12.75" x14ac:dyDescent="0.2">
      <c r="A309" s="21"/>
      <c r="B309" s="21"/>
      <c r="C309" s="21"/>
      <c r="D309" s="21"/>
      <c r="E309" s="21"/>
      <c r="F309" s="111"/>
      <c r="G309" s="113"/>
    </row>
    <row r="310" spans="1:7" ht="12.75" x14ac:dyDescent="0.2">
      <c r="A310" s="567" t="s">
        <v>451</v>
      </c>
      <c r="B310" s="568"/>
      <c r="C310" s="568"/>
      <c r="D310" s="568"/>
      <c r="E310" s="569"/>
      <c r="F310" s="111"/>
      <c r="G310" s="113"/>
    </row>
    <row r="311" spans="1:7" ht="25.5" x14ac:dyDescent="0.2">
      <c r="A311" s="552" t="s">
        <v>452</v>
      </c>
      <c r="B311" s="553"/>
      <c r="C311" s="553"/>
      <c r="D311" s="554"/>
      <c r="E311" s="1" t="s">
        <v>12</v>
      </c>
      <c r="F311" s="111"/>
      <c r="G311" s="113"/>
    </row>
    <row r="312" spans="1:7" ht="15" customHeight="1" x14ac:dyDescent="0.2">
      <c r="A312" s="63"/>
      <c r="B312" s="572" t="s">
        <v>453</v>
      </c>
      <c r="C312" s="573"/>
      <c r="D312" s="574"/>
      <c r="E312" s="130">
        <f>+E50+E76+E84+F109+E116+C121+E148+E155+E168+E204+E218+C225+E307</f>
        <v>625063855</v>
      </c>
      <c r="F312" s="111"/>
      <c r="G312" s="113"/>
    </row>
    <row r="313" spans="1:7" ht="18" customHeight="1" x14ac:dyDescent="0.2">
      <c r="A313" s="21"/>
      <c r="B313" s="21"/>
      <c r="C313" s="21"/>
      <c r="D313" s="21"/>
      <c r="E313" s="21"/>
      <c r="F313" s="18"/>
    </row>
    <row r="314" spans="1:7" ht="18" customHeight="1" x14ac:dyDescent="0.2">
      <c r="A314" s="21"/>
      <c r="B314" s="21"/>
      <c r="C314" s="21"/>
      <c r="D314" s="21"/>
      <c r="E314" s="21"/>
      <c r="F314" s="18"/>
    </row>
    <row r="315" spans="1:7" ht="18" customHeight="1" x14ac:dyDescent="0.2">
      <c r="A315" s="567" t="s">
        <v>454</v>
      </c>
      <c r="B315" s="568"/>
      <c r="C315" s="569"/>
      <c r="D315" s="21"/>
      <c r="E315" s="21"/>
      <c r="F315" s="18"/>
    </row>
    <row r="316" spans="1:7" ht="18" customHeight="1" x14ac:dyDescent="0.2">
      <c r="A316" s="552" t="s">
        <v>455</v>
      </c>
      <c r="B316" s="553"/>
      <c r="C316" s="554"/>
      <c r="D316" s="21"/>
      <c r="E316" s="21"/>
      <c r="F316" s="18"/>
    </row>
    <row r="317" spans="1:7" ht="30.75" customHeight="1" x14ac:dyDescent="0.2">
      <c r="A317" s="567" t="s">
        <v>456</v>
      </c>
      <c r="B317" s="568"/>
      <c r="C317" s="1" t="s">
        <v>457</v>
      </c>
      <c r="D317" s="21"/>
      <c r="E317" s="21"/>
      <c r="F317" s="21"/>
    </row>
    <row r="318" spans="1:7" ht="15" customHeight="1" x14ac:dyDescent="0.2">
      <c r="A318" s="131" t="s">
        <v>458</v>
      </c>
      <c r="B318" s="144"/>
      <c r="C318" s="150"/>
      <c r="D318" s="21"/>
      <c r="E318" s="21"/>
      <c r="F318" s="21"/>
    </row>
    <row r="319" spans="1:7" ht="15" customHeight="1" x14ac:dyDescent="0.2">
      <c r="A319" s="132" t="s">
        <v>459</v>
      </c>
      <c r="B319" s="145"/>
      <c r="C319" s="151"/>
      <c r="D319" s="21"/>
      <c r="E319" s="21"/>
      <c r="F319" s="21"/>
    </row>
    <row r="320" spans="1:7" ht="15" customHeight="1" x14ac:dyDescent="0.2">
      <c r="A320" s="132" t="s">
        <v>460</v>
      </c>
      <c r="B320" s="145"/>
      <c r="C320" s="151"/>
      <c r="D320" s="21"/>
      <c r="E320" s="21"/>
      <c r="F320" s="21"/>
    </row>
    <row r="321" spans="1:6" ht="15" customHeight="1" x14ac:dyDescent="0.2">
      <c r="A321" s="133" t="s">
        <v>461</v>
      </c>
      <c r="B321" s="145"/>
      <c r="C321" s="151"/>
      <c r="D321" s="21"/>
      <c r="E321" s="21"/>
      <c r="F321" s="21"/>
    </row>
    <row r="322" spans="1:6" ht="15" customHeight="1" x14ac:dyDescent="0.2">
      <c r="A322" s="134" t="s">
        <v>462</v>
      </c>
      <c r="B322" s="146"/>
      <c r="C322" s="152">
        <f>SUM(C318:C321)</f>
        <v>0</v>
      </c>
      <c r="D322" s="21"/>
      <c r="E322" s="21"/>
      <c r="F322" s="21"/>
    </row>
    <row r="323" spans="1:6" ht="15" customHeight="1" x14ac:dyDescent="0.2">
      <c r="A323" s="135" t="s">
        <v>463</v>
      </c>
      <c r="B323" s="147"/>
      <c r="C323" s="150">
        <v>5294531</v>
      </c>
      <c r="D323" s="21"/>
      <c r="E323" s="21"/>
      <c r="F323" s="21"/>
    </row>
    <row r="324" spans="1:6" ht="15" customHeight="1" x14ac:dyDescent="0.2">
      <c r="A324" s="136" t="s">
        <v>464</v>
      </c>
      <c r="B324" s="148"/>
      <c r="C324" s="151"/>
      <c r="D324" s="21"/>
      <c r="E324" s="21"/>
      <c r="F324" s="21"/>
    </row>
    <row r="325" spans="1:6" ht="15" customHeight="1" x14ac:dyDescent="0.2">
      <c r="A325" s="132" t="s">
        <v>465</v>
      </c>
      <c r="B325" s="148"/>
      <c r="C325" s="151"/>
      <c r="D325" s="21"/>
      <c r="E325" s="21"/>
      <c r="F325" s="21"/>
    </row>
    <row r="326" spans="1:6" ht="15" customHeight="1" x14ac:dyDescent="0.2">
      <c r="A326" s="132" t="s">
        <v>466</v>
      </c>
      <c r="B326" s="148"/>
      <c r="C326" s="151"/>
      <c r="D326" s="21"/>
      <c r="E326" s="21"/>
      <c r="F326" s="21"/>
    </row>
    <row r="327" spans="1:6" ht="15" customHeight="1" x14ac:dyDescent="0.2">
      <c r="A327" s="136" t="s">
        <v>467</v>
      </c>
      <c r="B327" s="148"/>
      <c r="C327" s="151"/>
      <c r="D327" s="21"/>
      <c r="E327" s="21"/>
      <c r="F327" s="21"/>
    </row>
    <row r="328" spans="1:6" ht="15" customHeight="1" x14ac:dyDescent="0.2">
      <c r="A328" s="136" t="s">
        <v>468</v>
      </c>
      <c r="B328" s="148"/>
      <c r="C328" s="151"/>
      <c r="D328" s="21"/>
      <c r="E328" s="21"/>
      <c r="F328" s="21"/>
    </row>
    <row r="329" spans="1:6" ht="15" customHeight="1" x14ac:dyDescent="0.2">
      <c r="A329" s="137" t="s">
        <v>469</v>
      </c>
      <c r="B329" s="149"/>
      <c r="C329" s="153">
        <v>135428013</v>
      </c>
      <c r="D329" s="21"/>
      <c r="E329" s="21"/>
      <c r="F329" s="21"/>
    </row>
    <row r="330" spans="1:6" ht="15" customHeight="1" x14ac:dyDescent="0.2">
      <c r="A330" s="35"/>
      <c r="B330" s="143" t="s">
        <v>470</v>
      </c>
      <c r="C330" s="106">
        <f>SUM(C322:C329)</f>
        <v>140722544</v>
      </c>
      <c r="D330" s="21"/>
      <c r="E330" s="21"/>
      <c r="F330" s="21"/>
    </row>
    <row r="331" spans="1:6" ht="12.75" x14ac:dyDescent="0.2">
      <c r="A331" s="21"/>
      <c r="B331" s="21"/>
      <c r="C331" s="21"/>
      <c r="D331" s="21"/>
      <c r="E331" s="21"/>
      <c r="F331" s="18"/>
    </row>
    <row r="332" spans="1:6" ht="12.75" x14ac:dyDescent="0.2">
      <c r="A332" s="21"/>
      <c r="B332" s="21"/>
      <c r="C332" s="21"/>
      <c r="D332" s="21"/>
      <c r="E332" s="21"/>
      <c r="F332" s="18"/>
    </row>
    <row r="333" spans="1:6" ht="12.75" x14ac:dyDescent="0.2">
      <c r="A333" s="21"/>
      <c r="B333" s="21"/>
      <c r="C333" s="21"/>
      <c r="D333" s="21"/>
      <c r="E333" s="21"/>
      <c r="F333" s="18"/>
    </row>
    <row r="334" spans="1:6" ht="12.75" x14ac:dyDescent="0.2">
      <c r="A334" s="114"/>
      <c r="B334" s="114"/>
      <c r="C334" s="114"/>
      <c r="D334" s="114"/>
      <c r="E334" s="114"/>
      <c r="F334" s="127"/>
    </row>
    <row r="335" spans="1:6" ht="12.75" x14ac:dyDescent="0.2">
      <c r="A335" s="114"/>
      <c r="B335" s="114"/>
      <c r="C335" s="114"/>
      <c r="D335" s="114"/>
      <c r="E335" s="541" t="str">
        <f>[3]NOMBRE!B12</f>
        <v xml:space="preserve">SRA. MARIA INES NUNEZ GONZALEZ </v>
      </c>
      <c r="F335" s="541"/>
    </row>
    <row r="336" spans="1:6" ht="12.75" x14ac:dyDescent="0.2">
      <c r="A336" s="114"/>
      <c r="B336" s="114"/>
      <c r="C336" s="114"/>
      <c r="D336" s="116"/>
      <c r="E336" s="542" t="str">
        <f>[3]NOMBRE!A12</f>
        <v>Jefe de Estadisticas</v>
      </c>
      <c r="F336" s="542"/>
    </row>
    <row r="337" spans="1:6" ht="12.75" x14ac:dyDescent="0.2">
      <c r="A337" s="114"/>
      <c r="B337" s="114"/>
      <c r="C337" s="114"/>
      <c r="D337" s="114"/>
      <c r="E337" s="234"/>
      <c r="F337" s="6"/>
    </row>
    <row r="338" spans="1:6" ht="12.75" x14ac:dyDescent="0.2">
      <c r="A338" s="114"/>
      <c r="B338" s="114"/>
      <c r="C338" s="114"/>
      <c r="D338" s="114"/>
      <c r="E338" s="6"/>
      <c r="F338" s="6"/>
    </row>
    <row r="339" spans="1:6" ht="12.75" x14ac:dyDescent="0.2">
      <c r="A339" s="114"/>
      <c r="B339" s="114"/>
      <c r="C339" s="114"/>
      <c r="D339" s="114"/>
      <c r="E339" s="6"/>
      <c r="F339" s="6"/>
    </row>
    <row r="340" spans="1:6" ht="12.75" x14ac:dyDescent="0.2">
      <c r="A340" s="114"/>
      <c r="B340" s="114"/>
      <c r="C340" s="114"/>
      <c r="D340" s="114"/>
      <c r="E340" s="6"/>
      <c r="F340" s="6"/>
    </row>
    <row r="341" spans="1:6" ht="12.75" x14ac:dyDescent="0.2">
      <c r="A341" s="114"/>
      <c r="B341" s="114"/>
      <c r="C341" s="114"/>
      <c r="D341" s="114"/>
      <c r="E341" s="6"/>
      <c r="F341" s="6"/>
    </row>
    <row r="342" spans="1:6" ht="12.75" x14ac:dyDescent="0.2">
      <c r="A342" s="114"/>
      <c r="B342" s="114"/>
      <c r="C342" s="114"/>
      <c r="D342" s="114"/>
      <c r="E342" s="6"/>
      <c r="F342" s="6"/>
    </row>
    <row r="343" spans="1:6" ht="12.75" x14ac:dyDescent="0.2">
      <c r="A343" s="114"/>
      <c r="B343" s="114"/>
      <c r="C343" s="114"/>
      <c r="D343" s="114"/>
      <c r="E343" s="6"/>
      <c r="F343" s="6"/>
    </row>
    <row r="344" spans="1:6" ht="12.75" x14ac:dyDescent="0.2">
      <c r="A344" s="114"/>
      <c r="B344" s="114"/>
      <c r="C344" s="114"/>
      <c r="D344" s="114"/>
      <c r="E344" s="541" t="str">
        <f>[3]NOMBRE!B11</f>
        <v xml:space="preserve">DR. FRANCISCO MARTINEZ CAVALLA </v>
      </c>
      <c r="F344" s="541"/>
    </row>
    <row r="345" spans="1:6" ht="22.5" customHeight="1" x14ac:dyDescent="0.2">
      <c r="A345" s="114"/>
      <c r="B345" s="114"/>
      <c r="C345" s="114"/>
      <c r="D345" s="127"/>
      <c r="E345" s="542" t="str">
        <f>CONCATENATE("Director ",[3]NOMBRE!B1)</f>
        <v xml:space="preserve">Director </v>
      </c>
      <c r="F345" s="542"/>
    </row>
    <row r="346" spans="1:6" ht="12.75" x14ac:dyDescent="0.2">
      <c r="A346" s="114"/>
      <c r="B346" s="114"/>
      <c r="C346" s="114"/>
      <c r="D346" s="138"/>
      <c r="E346" s="114"/>
      <c r="F346" s="127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C5:E5"/>
    <mergeCell ref="A13:E13"/>
    <mergeCell ref="A38:E38"/>
    <mergeCell ref="A41:E41"/>
    <mergeCell ref="A171:E171"/>
    <mergeCell ref="A306:E306"/>
    <mergeCell ref="B307:D307"/>
    <mergeCell ref="A294:E294"/>
    <mergeCell ref="B303:C303"/>
    <mergeCell ref="A228:E228"/>
    <mergeCell ref="A239:E239"/>
    <mergeCell ref="A235:E235"/>
    <mergeCell ref="A274:E274"/>
    <mergeCell ref="A284:E284"/>
    <mergeCell ref="A255:E255"/>
    <mergeCell ref="A221:C221"/>
    <mergeCell ref="A112:E112"/>
    <mergeCell ref="A119:C119"/>
    <mergeCell ref="C88:F88"/>
    <mergeCell ref="A124:E124"/>
    <mergeCell ref="A151:E151"/>
    <mergeCell ref="A46:E46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207:E207"/>
    <mergeCell ref="A158:E158"/>
    <mergeCell ref="A87:F87"/>
    <mergeCell ref="A88:A89"/>
    <mergeCell ref="B88:B8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0" zoomScaleNormal="70" workbookViewId="0">
      <selection activeCell="F329" sqref="F329"/>
    </sheetView>
  </sheetViews>
  <sheetFormatPr baseColWidth="10" defaultRowHeight="10.5" x14ac:dyDescent="0.15"/>
  <cols>
    <col min="1" max="1" width="20.28515625" style="225" customWidth="1"/>
    <col min="2" max="2" width="83.140625" style="225" customWidth="1"/>
    <col min="3" max="5" width="21.42578125" style="225" customWidth="1"/>
    <col min="6" max="6" width="19.5703125" style="226" customWidth="1"/>
    <col min="7" max="7" width="2.42578125" style="225" customWidth="1"/>
    <col min="8" max="9" width="5.140625" style="225" customWidth="1"/>
    <col min="10" max="256" width="11.42578125" style="225"/>
    <col min="257" max="257" width="20.28515625" style="225" customWidth="1"/>
    <col min="258" max="258" width="83.140625" style="225" customWidth="1"/>
    <col min="259" max="261" width="21.42578125" style="225" customWidth="1"/>
    <col min="262" max="262" width="19.5703125" style="225" customWidth="1"/>
    <col min="263" max="263" width="2.42578125" style="225" customWidth="1"/>
    <col min="264" max="265" width="5.140625" style="225" customWidth="1"/>
    <col min="266" max="512" width="11.42578125" style="225"/>
    <col min="513" max="513" width="20.28515625" style="225" customWidth="1"/>
    <col min="514" max="514" width="83.140625" style="225" customWidth="1"/>
    <col min="515" max="517" width="21.42578125" style="225" customWidth="1"/>
    <col min="518" max="518" width="19.5703125" style="225" customWidth="1"/>
    <col min="519" max="519" width="2.42578125" style="225" customWidth="1"/>
    <col min="520" max="521" width="5.140625" style="225" customWidth="1"/>
    <col min="522" max="768" width="11.42578125" style="225"/>
    <col min="769" max="769" width="20.28515625" style="225" customWidth="1"/>
    <col min="770" max="770" width="83.140625" style="225" customWidth="1"/>
    <col min="771" max="773" width="21.42578125" style="225" customWidth="1"/>
    <col min="774" max="774" width="19.5703125" style="225" customWidth="1"/>
    <col min="775" max="775" width="2.42578125" style="225" customWidth="1"/>
    <col min="776" max="777" width="5.140625" style="225" customWidth="1"/>
    <col min="778" max="1024" width="11.42578125" style="225"/>
    <col min="1025" max="1025" width="20.28515625" style="225" customWidth="1"/>
    <col min="1026" max="1026" width="83.140625" style="225" customWidth="1"/>
    <col min="1027" max="1029" width="21.42578125" style="225" customWidth="1"/>
    <col min="1030" max="1030" width="19.5703125" style="225" customWidth="1"/>
    <col min="1031" max="1031" width="2.42578125" style="225" customWidth="1"/>
    <col min="1032" max="1033" width="5.140625" style="225" customWidth="1"/>
    <col min="1034" max="1280" width="11.42578125" style="225"/>
    <col min="1281" max="1281" width="20.28515625" style="225" customWidth="1"/>
    <col min="1282" max="1282" width="83.140625" style="225" customWidth="1"/>
    <col min="1283" max="1285" width="21.42578125" style="225" customWidth="1"/>
    <col min="1286" max="1286" width="19.5703125" style="225" customWidth="1"/>
    <col min="1287" max="1287" width="2.42578125" style="225" customWidth="1"/>
    <col min="1288" max="1289" width="5.140625" style="225" customWidth="1"/>
    <col min="1290" max="1536" width="11.42578125" style="225"/>
    <col min="1537" max="1537" width="20.28515625" style="225" customWidth="1"/>
    <col min="1538" max="1538" width="83.140625" style="225" customWidth="1"/>
    <col min="1539" max="1541" width="21.42578125" style="225" customWidth="1"/>
    <col min="1542" max="1542" width="19.5703125" style="225" customWidth="1"/>
    <col min="1543" max="1543" width="2.42578125" style="225" customWidth="1"/>
    <col min="1544" max="1545" width="5.140625" style="225" customWidth="1"/>
    <col min="1546" max="1792" width="11.42578125" style="225"/>
    <col min="1793" max="1793" width="20.28515625" style="225" customWidth="1"/>
    <col min="1794" max="1794" width="83.140625" style="225" customWidth="1"/>
    <col min="1795" max="1797" width="21.42578125" style="225" customWidth="1"/>
    <col min="1798" max="1798" width="19.5703125" style="225" customWidth="1"/>
    <col min="1799" max="1799" width="2.42578125" style="225" customWidth="1"/>
    <col min="1800" max="1801" width="5.140625" style="225" customWidth="1"/>
    <col min="1802" max="2048" width="11.42578125" style="225"/>
    <col min="2049" max="2049" width="20.28515625" style="225" customWidth="1"/>
    <col min="2050" max="2050" width="83.140625" style="225" customWidth="1"/>
    <col min="2051" max="2053" width="21.42578125" style="225" customWidth="1"/>
    <col min="2054" max="2054" width="19.5703125" style="225" customWidth="1"/>
    <col min="2055" max="2055" width="2.42578125" style="225" customWidth="1"/>
    <col min="2056" max="2057" width="5.140625" style="225" customWidth="1"/>
    <col min="2058" max="2304" width="11.42578125" style="225"/>
    <col min="2305" max="2305" width="20.28515625" style="225" customWidth="1"/>
    <col min="2306" max="2306" width="83.140625" style="225" customWidth="1"/>
    <col min="2307" max="2309" width="21.42578125" style="225" customWidth="1"/>
    <col min="2310" max="2310" width="19.5703125" style="225" customWidth="1"/>
    <col min="2311" max="2311" width="2.42578125" style="225" customWidth="1"/>
    <col min="2312" max="2313" width="5.140625" style="225" customWidth="1"/>
    <col min="2314" max="2560" width="11.42578125" style="225"/>
    <col min="2561" max="2561" width="20.28515625" style="225" customWidth="1"/>
    <col min="2562" max="2562" width="83.140625" style="225" customWidth="1"/>
    <col min="2563" max="2565" width="21.42578125" style="225" customWidth="1"/>
    <col min="2566" max="2566" width="19.5703125" style="225" customWidth="1"/>
    <col min="2567" max="2567" width="2.42578125" style="225" customWidth="1"/>
    <col min="2568" max="2569" width="5.140625" style="225" customWidth="1"/>
    <col min="2570" max="2816" width="11.42578125" style="225"/>
    <col min="2817" max="2817" width="20.28515625" style="225" customWidth="1"/>
    <col min="2818" max="2818" width="83.140625" style="225" customWidth="1"/>
    <col min="2819" max="2821" width="21.42578125" style="225" customWidth="1"/>
    <col min="2822" max="2822" width="19.5703125" style="225" customWidth="1"/>
    <col min="2823" max="2823" width="2.42578125" style="225" customWidth="1"/>
    <col min="2824" max="2825" width="5.140625" style="225" customWidth="1"/>
    <col min="2826" max="3072" width="11.42578125" style="225"/>
    <col min="3073" max="3073" width="20.28515625" style="225" customWidth="1"/>
    <col min="3074" max="3074" width="83.140625" style="225" customWidth="1"/>
    <col min="3075" max="3077" width="21.42578125" style="225" customWidth="1"/>
    <col min="3078" max="3078" width="19.5703125" style="225" customWidth="1"/>
    <col min="3079" max="3079" width="2.42578125" style="225" customWidth="1"/>
    <col min="3080" max="3081" width="5.140625" style="225" customWidth="1"/>
    <col min="3082" max="3328" width="11.42578125" style="225"/>
    <col min="3329" max="3329" width="20.28515625" style="225" customWidth="1"/>
    <col min="3330" max="3330" width="83.140625" style="225" customWidth="1"/>
    <col min="3331" max="3333" width="21.42578125" style="225" customWidth="1"/>
    <col min="3334" max="3334" width="19.5703125" style="225" customWidth="1"/>
    <col min="3335" max="3335" width="2.42578125" style="225" customWidth="1"/>
    <col min="3336" max="3337" width="5.140625" style="225" customWidth="1"/>
    <col min="3338" max="3584" width="11.42578125" style="225"/>
    <col min="3585" max="3585" width="20.28515625" style="225" customWidth="1"/>
    <col min="3586" max="3586" width="83.140625" style="225" customWidth="1"/>
    <col min="3587" max="3589" width="21.42578125" style="225" customWidth="1"/>
    <col min="3590" max="3590" width="19.5703125" style="225" customWidth="1"/>
    <col min="3591" max="3591" width="2.42578125" style="225" customWidth="1"/>
    <col min="3592" max="3593" width="5.140625" style="225" customWidth="1"/>
    <col min="3594" max="3840" width="11.42578125" style="225"/>
    <col min="3841" max="3841" width="20.28515625" style="225" customWidth="1"/>
    <col min="3842" max="3842" width="83.140625" style="225" customWidth="1"/>
    <col min="3843" max="3845" width="21.42578125" style="225" customWidth="1"/>
    <col min="3846" max="3846" width="19.5703125" style="225" customWidth="1"/>
    <col min="3847" max="3847" width="2.42578125" style="225" customWidth="1"/>
    <col min="3848" max="3849" width="5.140625" style="225" customWidth="1"/>
    <col min="3850" max="4096" width="11.42578125" style="225"/>
    <col min="4097" max="4097" width="20.28515625" style="225" customWidth="1"/>
    <col min="4098" max="4098" width="83.140625" style="225" customWidth="1"/>
    <col min="4099" max="4101" width="21.42578125" style="225" customWidth="1"/>
    <col min="4102" max="4102" width="19.5703125" style="225" customWidth="1"/>
    <col min="4103" max="4103" width="2.42578125" style="225" customWidth="1"/>
    <col min="4104" max="4105" width="5.140625" style="225" customWidth="1"/>
    <col min="4106" max="4352" width="11.42578125" style="225"/>
    <col min="4353" max="4353" width="20.28515625" style="225" customWidth="1"/>
    <col min="4354" max="4354" width="83.140625" style="225" customWidth="1"/>
    <col min="4355" max="4357" width="21.42578125" style="225" customWidth="1"/>
    <col min="4358" max="4358" width="19.5703125" style="225" customWidth="1"/>
    <col min="4359" max="4359" width="2.42578125" style="225" customWidth="1"/>
    <col min="4360" max="4361" width="5.140625" style="225" customWidth="1"/>
    <col min="4362" max="4608" width="11.42578125" style="225"/>
    <col min="4609" max="4609" width="20.28515625" style="225" customWidth="1"/>
    <col min="4610" max="4610" width="83.140625" style="225" customWidth="1"/>
    <col min="4611" max="4613" width="21.42578125" style="225" customWidth="1"/>
    <col min="4614" max="4614" width="19.5703125" style="225" customWidth="1"/>
    <col min="4615" max="4615" width="2.42578125" style="225" customWidth="1"/>
    <col min="4616" max="4617" width="5.140625" style="225" customWidth="1"/>
    <col min="4618" max="4864" width="11.42578125" style="225"/>
    <col min="4865" max="4865" width="20.28515625" style="225" customWidth="1"/>
    <col min="4866" max="4866" width="83.140625" style="225" customWidth="1"/>
    <col min="4867" max="4869" width="21.42578125" style="225" customWidth="1"/>
    <col min="4870" max="4870" width="19.5703125" style="225" customWidth="1"/>
    <col min="4871" max="4871" width="2.42578125" style="225" customWidth="1"/>
    <col min="4872" max="4873" width="5.140625" style="225" customWidth="1"/>
    <col min="4874" max="5120" width="11.42578125" style="225"/>
    <col min="5121" max="5121" width="20.28515625" style="225" customWidth="1"/>
    <col min="5122" max="5122" width="83.140625" style="225" customWidth="1"/>
    <col min="5123" max="5125" width="21.42578125" style="225" customWidth="1"/>
    <col min="5126" max="5126" width="19.5703125" style="225" customWidth="1"/>
    <col min="5127" max="5127" width="2.42578125" style="225" customWidth="1"/>
    <col min="5128" max="5129" width="5.140625" style="225" customWidth="1"/>
    <col min="5130" max="5376" width="11.42578125" style="225"/>
    <col min="5377" max="5377" width="20.28515625" style="225" customWidth="1"/>
    <col min="5378" max="5378" width="83.140625" style="225" customWidth="1"/>
    <col min="5379" max="5381" width="21.42578125" style="225" customWidth="1"/>
    <col min="5382" max="5382" width="19.5703125" style="225" customWidth="1"/>
    <col min="5383" max="5383" width="2.42578125" style="225" customWidth="1"/>
    <col min="5384" max="5385" width="5.140625" style="225" customWidth="1"/>
    <col min="5386" max="5632" width="11.42578125" style="225"/>
    <col min="5633" max="5633" width="20.28515625" style="225" customWidth="1"/>
    <col min="5634" max="5634" width="83.140625" style="225" customWidth="1"/>
    <col min="5635" max="5637" width="21.42578125" style="225" customWidth="1"/>
    <col min="5638" max="5638" width="19.5703125" style="225" customWidth="1"/>
    <col min="5639" max="5639" width="2.42578125" style="225" customWidth="1"/>
    <col min="5640" max="5641" width="5.140625" style="225" customWidth="1"/>
    <col min="5642" max="5888" width="11.42578125" style="225"/>
    <col min="5889" max="5889" width="20.28515625" style="225" customWidth="1"/>
    <col min="5890" max="5890" width="83.140625" style="225" customWidth="1"/>
    <col min="5891" max="5893" width="21.42578125" style="225" customWidth="1"/>
    <col min="5894" max="5894" width="19.5703125" style="225" customWidth="1"/>
    <col min="5895" max="5895" width="2.42578125" style="225" customWidth="1"/>
    <col min="5896" max="5897" width="5.140625" style="225" customWidth="1"/>
    <col min="5898" max="6144" width="11.42578125" style="225"/>
    <col min="6145" max="6145" width="20.28515625" style="225" customWidth="1"/>
    <col min="6146" max="6146" width="83.140625" style="225" customWidth="1"/>
    <col min="6147" max="6149" width="21.42578125" style="225" customWidth="1"/>
    <col min="6150" max="6150" width="19.5703125" style="225" customWidth="1"/>
    <col min="6151" max="6151" width="2.42578125" style="225" customWidth="1"/>
    <col min="6152" max="6153" width="5.140625" style="225" customWidth="1"/>
    <col min="6154" max="6400" width="11.42578125" style="225"/>
    <col min="6401" max="6401" width="20.28515625" style="225" customWidth="1"/>
    <col min="6402" max="6402" width="83.140625" style="225" customWidth="1"/>
    <col min="6403" max="6405" width="21.42578125" style="225" customWidth="1"/>
    <col min="6406" max="6406" width="19.5703125" style="225" customWidth="1"/>
    <col min="6407" max="6407" width="2.42578125" style="225" customWidth="1"/>
    <col min="6408" max="6409" width="5.140625" style="225" customWidth="1"/>
    <col min="6410" max="6656" width="11.42578125" style="225"/>
    <col min="6657" max="6657" width="20.28515625" style="225" customWidth="1"/>
    <col min="6658" max="6658" width="83.140625" style="225" customWidth="1"/>
    <col min="6659" max="6661" width="21.42578125" style="225" customWidth="1"/>
    <col min="6662" max="6662" width="19.5703125" style="225" customWidth="1"/>
    <col min="6663" max="6663" width="2.42578125" style="225" customWidth="1"/>
    <col min="6664" max="6665" width="5.140625" style="225" customWidth="1"/>
    <col min="6666" max="6912" width="11.42578125" style="225"/>
    <col min="6913" max="6913" width="20.28515625" style="225" customWidth="1"/>
    <col min="6914" max="6914" width="83.140625" style="225" customWidth="1"/>
    <col min="6915" max="6917" width="21.42578125" style="225" customWidth="1"/>
    <col min="6918" max="6918" width="19.5703125" style="225" customWidth="1"/>
    <col min="6919" max="6919" width="2.42578125" style="225" customWidth="1"/>
    <col min="6920" max="6921" width="5.140625" style="225" customWidth="1"/>
    <col min="6922" max="7168" width="11.42578125" style="225"/>
    <col min="7169" max="7169" width="20.28515625" style="225" customWidth="1"/>
    <col min="7170" max="7170" width="83.140625" style="225" customWidth="1"/>
    <col min="7171" max="7173" width="21.42578125" style="225" customWidth="1"/>
    <col min="7174" max="7174" width="19.5703125" style="225" customWidth="1"/>
    <col min="7175" max="7175" width="2.42578125" style="225" customWidth="1"/>
    <col min="7176" max="7177" width="5.140625" style="225" customWidth="1"/>
    <col min="7178" max="7424" width="11.42578125" style="225"/>
    <col min="7425" max="7425" width="20.28515625" style="225" customWidth="1"/>
    <col min="7426" max="7426" width="83.140625" style="225" customWidth="1"/>
    <col min="7427" max="7429" width="21.42578125" style="225" customWidth="1"/>
    <col min="7430" max="7430" width="19.5703125" style="225" customWidth="1"/>
    <col min="7431" max="7431" width="2.42578125" style="225" customWidth="1"/>
    <col min="7432" max="7433" width="5.140625" style="225" customWidth="1"/>
    <col min="7434" max="7680" width="11.42578125" style="225"/>
    <col min="7681" max="7681" width="20.28515625" style="225" customWidth="1"/>
    <col min="7682" max="7682" width="83.140625" style="225" customWidth="1"/>
    <col min="7683" max="7685" width="21.42578125" style="225" customWidth="1"/>
    <col min="7686" max="7686" width="19.5703125" style="225" customWidth="1"/>
    <col min="7687" max="7687" width="2.42578125" style="225" customWidth="1"/>
    <col min="7688" max="7689" width="5.140625" style="225" customWidth="1"/>
    <col min="7690" max="7936" width="11.42578125" style="225"/>
    <col min="7937" max="7937" width="20.28515625" style="225" customWidth="1"/>
    <col min="7938" max="7938" width="83.140625" style="225" customWidth="1"/>
    <col min="7939" max="7941" width="21.42578125" style="225" customWidth="1"/>
    <col min="7942" max="7942" width="19.5703125" style="225" customWidth="1"/>
    <col min="7943" max="7943" width="2.42578125" style="225" customWidth="1"/>
    <col min="7944" max="7945" width="5.140625" style="225" customWidth="1"/>
    <col min="7946" max="8192" width="11.42578125" style="225"/>
    <col min="8193" max="8193" width="20.28515625" style="225" customWidth="1"/>
    <col min="8194" max="8194" width="83.140625" style="225" customWidth="1"/>
    <col min="8195" max="8197" width="21.42578125" style="225" customWidth="1"/>
    <col min="8198" max="8198" width="19.5703125" style="225" customWidth="1"/>
    <col min="8199" max="8199" width="2.42578125" style="225" customWidth="1"/>
    <col min="8200" max="8201" width="5.140625" style="225" customWidth="1"/>
    <col min="8202" max="8448" width="11.42578125" style="225"/>
    <col min="8449" max="8449" width="20.28515625" style="225" customWidth="1"/>
    <col min="8450" max="8450" width="83.140625" style="225" customWidth="1"/>
    <col min="8451" max="8453" width="21.42578125" style="225" customWidth="1"/>
    <col min="8454" max="8454" width="19.5703125" style="225" customWidth="1"/>
    <col min="8455" max="8455" width="2.42578125" style="225" customWidth="1"/>
    <col min="8456" max="8457" width="5.140625" style="225" customWidth="1"/>
    <col min="8458" max="8704" width="11.42578125" style="225"/>
    <col min="8705" max="8705" width="20.28515625" style="225" customWidth="1"/>
    <col min="8706" max="8706" width="83.140625" style="225" customWidth="1"/>
    <col min="8707" max="8709" width="21.42578125" style="225" customWidth="1"/>
    <col min="8710" max="8710" width="19.5703125" style="225" customWidth="1"/>
    <col min="8711" max="8711" width="2.42578125" style="225" customWidth="1"/>
    <col min="8712" max="8713" width="5.140625" style="225" customWidth="1"/>
    <col min="8714" max="8960" width="11.42578125" style="225"/>
    <col min="8961" max="8961" width="20.28515625" style="225" customWidth="1"/>
    <col min="8962" max="8962" width="83.140625" style="225" customWidth="1"/>
    <col min="8963" max="8965" width="21.42578125" style="225" customWidth="1"/>
    <col min="8966" max="8966" width="19.5703125" style="225" customWidth="1"/>
    <col min="8967" max="8967" width="2.42578125" style="225" customWidth="1"/>
    <col min="8968" max="8969" width="5.140625" style="225" customWidth="1"/>
    <col min="8970" max="9216" width="11.42578125" style="225"/>
    <col min="9217" max="9217" width="20.28515625" style="225" customWidth="1"/>
    <col min="9218" max="9218" width="83.140625" style="225" customWidth="1"/>
    <col min="9219" max="9221" width="21.42578125" style="225" customWidth="1"/>
    <col min="9222" max="9222" width="19.5703125" style="225" customWidth="1"/>
    <col min="9223" max="9223" width="2.42578125" style="225" customWidth="1"/>
    <col min="9224" max="9225" width="5.140625" style="225" customWidth="1"/>
    <col min="9226" max="9472" width="11.42578125" style="225"/>
    <col min="9473" max="9473" width="20.28515625" style="225" customWidth="1"/>
    <col min="9474" max="9474" width="83.140625" style="225" customWidth="1"/>
    <col min="9475" max="9477" width="21.42578125" style="225" customWidth="1"/>
    <col min="9478" max="9478" width="19.5703125" style="225" customWidth="1"/>
    <col min="9479" max="9479" width="2.42578125" style="225" customWidth="1"/>
    <col min="9480" max="9481" width="5.140625" style="225" customWidth="1"/>
    <col min="9482" max="9728" width="11.42578125" style="225"/>
    <col min="9729" max="9729" width="20.28515625" style="225" customWidth="1"/>
    <col min="9730" max="9730" width="83.140625" style="225" customWidth="1"/>
    <col min="9731" max="9733" width="21.42578125" style="225" customWidth="1"/>
    <col min="9734" max="9734" width="19.5703125" style="225" customWidth="1"/>
    <col min="9735" max="9735" width="2.42578125" style="225" customWidth="1"/>
    <col min="9736" max="9737" width="5.140625" style="225" customWidth="1"/>
    <col min="9738" max="9984" width="11.42578125" style="225"/>
    <col min="9985" max="9985" width="20.28515625" style="225" customWidth="1"/>
    <col min="9986" max="9986" width="83.140625" style="225" customWidth="1"/>
    <col min="9987" max="9989" width="21.42578125" style="225" customWidth="1"/>
    <col min="9990" max="9990" width="19.5703125" style="225" customWidth="1"/>
    <col min="9991" max="9991" width="2.42578125" style="225" customWidth="1"/>
    <col min="9992" max="9993" width="5.140625" style="225" customWidth="1"/>
    <col min="9994" max="10240" width="11.42578125" style="225"/>
    <col min="10241" max="10241" width="20.28515625" style="225" customWidth="1"/>
    <col min="10242" max="10242" width="83.140625" style="225" customWidth="1"/>
    <col min="10243" max="10245" width="21.42578125" style="225" customWidth="1"/>
    <col min="10246" max="10246" width="19.5703125" style="225" customWidth="1"/>
    <col min="10247" max="10247" width="2.42578125" style="225" customWidth="1"/>
    <col min="10248" max="10249" width="5.140625" style="225" customWidth="1"/>
    <col min="10250" max="10496" width="11.42578125" style="225"/>
    <col min="10497" max="10497" width="20.28515625" style="225" customWidth="1"/>
    <col min="10498" max="10498" width="83.140625" style="225" customWidth="1"/>
    <col min="10499" max="10501" width="21.42578125" style="225" customWidth="1"/>
    <col min="10502" max="10502" width="19.5703125" style="225" customWidth="1"/>
    <col min="10503" max="10503" width="2.42578125" style="225" customWidth="1"/>
    <col min="10504" max="10505" width="5.140625" style="225" customWidth="1"/>
    <col min="10506" max="10752" width="11.42578125" style="225"/>
    <col min="10753" max="10753" width="20.28515625" style="225" customWidth="1"/>
    <col min="10754" max="10754" width="83.140625" style="225" customWidth="1"/>
    <col min="10755" max="10757" width="21.42578125" style="225" customWidth="1"/>
    <col min="10758" max="10758" width="19.5703125" style="225" customWidth="1"/>
    <col min="10759" max="10759" width="2.42578125" style="225" customWidth="1"/>
    <col min="10760" max="10761" width="5.140625" style="225" customWidth="1"/>
    <col min="10762" max="11008" width="11.42578125" style="225"/>
    <col min="11009" max="11009" width="20.28515625" style="225" customWidth="1"/>
    <col min="11010" max="11010" width="83.140625" style="225" customWidth="1"/>
    <col min="11011" max="11013" width="21.42578125" style="225" customWidth="1"/>
    <col min="11014" max="11014" width="19.5703125" style="225" customWidth="1"/>
    <col min="11015" max="11015" width="2.42578125" style="225" customWidth="1"/>
    <col min="11016" max="11017" width="5.140625" style="225" customWidth="1"/>
    <col min="11018" max="11264" width="11.42578125" style="225"/>
    <col min="11265" max="11265" width="20.28515625" style="225" customWidth="1"/>
    <col min="11266" max="11266" width="83.140625" style="225" customWidth="1"/>
    <col min="11267" max="11269" width="21.42578125" style="225" customWidth="1"/>
    <col min="11270" max="11270" width="19.5703125" style="225" customWidth="1"/>
    <col min="11271" max="11271" width="2.42578125" style="225" customWidth="1"/>
    <col min="11272" max="11273" width="5.140625" style="225" customWidth="1"/>
    <col min="11274" max="11520" width="11.42578125" style="225"/>
    <col min="11521" max="11521" width="20.28515625" style="225" customWidth="1"/>
    <col min="11522" max="11522" width="83.140625" style="225" customWidth="1"/>
    <col min="11523" max="11525" width="21.42578125" style="225" customWidth="1"/>
    <col min="11526" max="11526" width="19.5703125" style="225" customWidth="1"/>
    <col min="11527" max="11527" width="2.42578125" style="225" customWidth="1"/>
    <col min="11528" max="11529" width="5.140625" style="225" customWidth="1"/>
    <col min="11530" max="11776" width="11.42578125" style="225"/>
    <col min="11777" max="11777" width="20.28515625" style="225" customWidth="1"/>
    <col min="11778" max="11778" width="83.140625" style="225" customWidth="1"/>
    <col min="11779" max="11781" width="21.42578125" style="225" customWidth="1"/>
    <col min="11782" max="11782" width="19.5703125" style="225" customWidth="1"/>
    <col min="11783" max="11783" width="2.42578125" style="225" customWidth="1"/>
    <col min="11784" max="11785" width="5.140625" style="225" customWidth="1"/>
    <col min="11786" max="12032" width="11.42578125" style="225"/>
    <col min="12033" max="12033" width="20.28515625" style="225" customWidth="1"/>
    <col min="12034" max="12034" width="83.140625" style="225" customWidth="1"/>
    <col min="12035" max="12037" width="21.42578125" style="225" customWidth="1"/>
    <col min="12038" max="12038" width="19.5703125" style="225" customWidth="1"/>
    <col min="12039" max="12039" width="2.42578125" style="225" customWidth="1"/>
    <col min="12040" max="12041" width="5.140625" style="225" customWidth="1"/>
    <col min="12042" max="12288" width="11.42578125" style="225"/>
    <col min="12289" max="12289" width="20.28515625" style="225" customWidth="1"/>
    <col min="12290" max="12290" width="83.140625" style="225" customWidth="1"/>
    <col min="12291" max="12293" width="21.42578125" style="225" customWidth="1"/>
    <col min="12294" max="12294" width="19.5703125" style="225" customWidth="1"/>
    <col min="12295" max="12295" width="2.42578125" style="225" customWidth="1"/>
    <col min="12296" max="12297" width="5.140625" style="225" customWidth="1"/>
    <col min="12298" max="12544" width="11.42578125" style="225"/>
    <col min="12545" max="12545" width="20.28515625" style="225" customWidth="1"/>
    <col min="12546" max="12546" width="83.140625" style="225" customWidth="1"/>
    <col min="12547" max="12549" width="21.42578125" style="225" customWidth="1"/>
    <col min="12550" max="12550" width="19.5703125" style="225" customWidth="1"/>
    <col min="12551" max="12551" width="2.42578125" style="225" customWidth="1"/>
    <col min="12552" max="12553" width="5.140625" style="225" customWidth="1"/>
    <col min="12554" max="12800" width="11.42578125" style="225"/>
    <col min="12801" max="12801" width="20.28515625" style="225" customWidth="1"/>
    <col min="12802" max="12802" width="83.140625" style="225" customWidth="1"/>
    <col min="12803" max="12805" width="21.42578125" style="225" customWidth="1"/>
    <col min="12806" max="12806" width="19.5703125" style="225" customWidth="1"/>
    <col min="12807" max="12807" width="2.42578125" style="225" customWidth="1"/>
    <col min="12808" max="12809" width="5.140625" style="225" customWidth="1"/>
    <col min="12810" max="13056" width="11.42578125" style="225"/>
    <col min="13057" max="13057" width="20.28515625" style="225" customWidth="1"/>
    <col min="13058" max="13058" width="83.140625" style="225" customWidth="1"/>
    <col min="13059" max="13061" width="21.42578125" style="225" customWidth="1"/>
    <col min="13062" max="13062" width="19.5703125" style="225" customWidth="1"/>
    <col min="13063" max="13063" width="2.42578125" style="225" customWidth="1"/>
    <col min="13064" max="13065" width="5.140625" style="225" customWidth="1"/>
    <col min="13066" max="13312" width="11.42578125" style="225"/>
    <col min="13313" max="13313" width="20.28515625" style="225" customWidth="1"/>
    <col min="13314" max="13314" width="83.140625" style="225" customWidth="1"/>
    <col min="13315" max="13317" width="21.42578125" style="225" customWidth="1"/>
    <col min="13318" max="13318" width="19.5703125" style="225" customWidth="1"/>
    <col min="13319" max="13319" width="2.42578125" style="225" customWidth="1"/>
    <col min="13320" max="13321" width="5.140625" style="225" customWidth="1"/>
    <col min="13322" max="13568" width="11.42578125" style="225"/>
    <col min="13569" max="13569" width="20.28515625" style="225" customWidth="1"/>
    <col min="13570" max="13570" width="83.140625" style="225" customWidth="1"/>
    <col min="13571" max="13573" width="21.42578125" style="225" customWidth="1"/>
    <col min="13574" max="13574" width="19.5703125" style="225" customWidth="1"/>
    <col min="13575" max="13575" width="2.42578125" style="225" customWidth="1"/>
    <col min="13576" max="13577" width="5.140625" style="225" customWidth="1"/>
    <col min="13578" max="13824" width="11.42578125" style="225"/>
    <col min="13825" max="13825" width="20.28515625" style="225" customWidth="1"/>
    <col min="13826" max="13826" width="83.140625" style="225" customWidth="1"/>
    <col min="13827" max="13829" width="21.42578125" style="225" customWidth="1"/>
    <col min="13830" max="13830" width="19.5703125" style="225" customWidth="1"/>
    <col min="13831" max="13831" width="2.42578125" style="225" customWidth="1"/>
    <col min="13832" max="13833" width="5.140625" style="225" customWidth="1"/>
    <col min="13834" max="14080" width="11.42578125" style="225"/>
    <col min="14081" max="14081" width="20.28515625" style="225" customWidth="1"/>
    <col min="14082" max="14082" width="83.140625" style="225" customWidth="1"/>
    <col min="14083" max="14085" width="21.42578125" style="225" customWidth="1"/>
    <col min="14086" max="14086" width="19.5703125" style="225" customWidth="1"/>
    <col min="14087" max="14087" width="2.42578125" style="225" customWidth="1"/>
    <col min="14088" max="14089" width="5.140625" style="225" customWidth="1"/>
    <col min="14090" max="14336" width="11.42578125" style="225"/>
    <col min="14337" max="14337" width="20.28515625" style="225" customWidth="1"/>
    <col min="14338" max="14338" width="83.140625" style="225" customWidth="1"/>
    <col min="14339" max="14341" width="21.42578125" style="225" customWidth="1"/>
    <col min="14342" max="14342" width="19.5703125" style="225" customWidth="1"/>
    <col min="14343" max="14343" width="2.42578125" style="225" customWidth="1"/>
    <col min="14344" max="14345" width="5.140625" style="225" customWidth="1"/>
    <col min="14346" max="14592" width="11.42578125" style="225"/>
    <col min="14593" max="14593" width="20.28515625" style="225" customWidth="1"/>
    <col min="14594" max="14594" width="83.140625" style="225" customWidth="1"/>
    <col min="14595" max="14597" width="21.42578125" style="225" customWidth="1"/>
    <col min="14598" max="14598" width="19.5703125" style="225" customWidth="1"/>
    <col min="14599" max="14599" width="2.42578125" style="225" customWidth="1"/>
    <col min="14600" max="14601" width="5.140625" style="225" customWidth="1"/>
    <col min="14602" max="14848" width="11.42578125" style="225"/>
    <col min="14849" max="14849" width="20.28515625" style="225" customWidth="1"/>
    <col min="14850" max="14850" width="83.140625" style="225" customWidth="1"/>
    <col min="14851" max="14853" width="21.42578125" style="225" customWidth="1"/>
    <col min="14854" max="14854" width="19.5703125" style="225" customWidth="1"/>
    <col min="14855" max="14855" width="2.42578125" style="225" customWidth="1"/>
    <col min="14856" max="14857" width="5.140625" style="225" customWidth="1"/>
    <col min="14858" max="15104" width="11.42578125" style="225"/>
    <col min="15105" max="15105" width="20.28515625" style="225" customWidth="1"/>
    <col min="15106" max="15106" width="83.140625" style="225" customWidth="1"/>
    <col min="15107" max="15109" width="21.42578125" style="225" customWidth="1"/>
    <col min="15110" max="15110" width="19.5703125" style="225" customWidth="1"/>
    <col min="15111" max="15111" width="2.42578125" style="225" customWidth="1"/>
    <col min="15112" max="15113" width="5.140625" style="225" customWidth="1"/>
    <col min="15114" max="15360" width="11.42578125" style="225"/>
    <col min="15361" max="15361" width="20.28515625" style="225" customWidth="1"/>
    <col min="15362" max="15362" width="83.140625" style="225" customWidth="1"/>
    <col min="15363" max="15365" width="21.42578125" style="225" customWidth="1"/>
    <col min="15366" max="15366" width="19.5703125" style="225" customWidth="1"/>
    <col min="15367" max="15367" width="2.42578125" style="225" customWidth="1"/>
    <col min="15368" max="15369" width="5.140625" style="225" customWidth="1"/>
    <col min="15370" max="15616" width="11.42578125" style="225"/>
    <col min="15617" max="15617" width="20.28515625" style="225" customWidth="1"/>
    <col min="15618" max="15618" width="83.140625" style="225" customWidth="1"/>
    <col min="15619" max="15621" width="21.42578125" style="225" customWidth="1"/>
    <col min="15622" max="15622" width="19.5703125" style="225" customWidth="1"/>
    <col min="15623" max="15623" width="2.42578125" style="225" customWidth="1"/>
    <col min="15624" max="15625" width="5.140625" style="225" customWidth="1"/>
    <col min="15626" max="15872" width="11.42578125" style="225"/>
    <col min="15873" max="15873" width="20.28515625" style="225" customWidth="1"/>
    <col min="15874" max="15874" width="83.140625" style="225" customWidth="1"/>
    <col min="15875" max="15877" width="21.42578125" style="225" customWidth="1"/>
    <col min="15878" max="15878" width="19.5703125" style="225" customWidth="1"/>
    <col min="15879" max="15879" width="2.42578125" style="225" customWidth="1"/>
    <col min="15880" max="15881" width="5.140625" style="225" customWidth="1"/>
    <col min="15882" max="16128" width="11.42578125" style="225"/>
    <col min="16129" max="16129" width="20.28515625" style="225" customWidth="1"/>
    <col min="16130" max="16130" width="83.140625" style="225" customWidth="1"/>
    <col min="16131" max="16133" width="21.42578125" style="225" customWidth="1"/>
    <col min="16134" max="16134" width="19.5703125" style="225" customWidth="1"/>
    <col min="16135" max="16135" width="2.42578125" style="225" customWidth="1"/>
    <col min="16136" max="16137" width="5.140625" style="225" customWidth="1"/>
    <col min="16138" max="16384" width="11.42578125" style="225"/>
  </cols>
  <sheetData>
    <row r="1" spans="1:7" ht="12.75" x14ac:dyDescent="0.2">
      <c r="A1" s="15" t="s">
        <v>0</v>
      </c>
      <c r="B1" s="16"/>
      <c r="C1" s="543" t="s">
        <v>1</v>
      </c>
      <c r="D1" s="544"/>
      <c r="E1" s="545"/>
      <c r="F1" s="17"/>
    </row>
    <row r="2" spans="1:7" ht="12.75" x14ac:dyDescent="0.2">
      <c r="A2" s="15" t="str">
        <f>CONCATENATE("COMUNA: ",[4]NOMBRE!B2," - ","( ",[4]NOMBRE!C2,[4]NOMBRE!D2,[4]NOMBRE!E2,[4]NOMBRE!F2,[4]NOMBRE!G2," )")</f>
        <v>COMUNA: LINARES  - ( 07401 )</v>
      </c>
      <c r="B2" s="16"/>
      <c r="C2" s="546"/>
      <c r="D2" s="547"/>
      <c r="E2" s="548"/>
      <c r="F2" s="18"/>
      <c r="G2" s="19"/>
    </row>
    <row r="3" spans="1:7" ht="12.75" x14ac:dyDescent="0.2">
      <c r="A3" s="15" t="str">
        <f>CONCATENATE("ESTABLECIMIENTO/ESTRATEGIA: ",[4]NOMBRE!B3," - ","( ",[4]NOMBRE!C3,[4]NOMBRE!D3,[4]NOMBRE!E3,[4]NOMBRE!F3,[4]NOMBRE!G3,[4]NOMBRE!H3," )")</f>
        <v>ESTABLECIMIENTO/ESTRATEGIA: HOSPITAL DE LINARES  - ( 116108 )</v>
      </c>
      <c r="B3" s="16"/>
      <c r="C3" s="543" t="s">
        <v>2</v>
      </c>
      <c r="D3" s="544"/>
      <c r="E3" s="545"/>
      <c r="F3" s="18"/>
      <c r="G3" s="20"/>
    </row>
    <row r="4" spans="1:7" ht="12.75" x14ac:dyDescent="0.2">
      <c r="A4" s="15" t="str">
        <f>CONCATENATE("MES: ",[4]NOMBRE!B6," - ","( ",[4]NOMBRE!C6,[4]NOMBRE!D6," )")</f>
        <v>MES: MARZO - ( 03 )</v>
      </c>
      <c r="B4" s="16"/>
      <c r="C4" s="546" t="str">
        <f>CONCATENATE([4]NOMBRE!B6," ","( ",[4]NOMBRE!C6,[4]NOMBRE!D6," )")</f>
        <v>MARZO ( 03 )</v>
      </c>
      <c r="D4" s="547"/>
      <c r="E4" s="548"/>
      <c r="F4" s="18"/>
      <c r="G4" s="20"/>
    </row>
    <row r="5" spans="1:7" ht="12.75" x14ac:dyDescent="0.2">
      <c r="A5" s="15" t="str">
        <f>CONCATENATE("AÑO: ",[4]NOMBRE!B7)</f>
        <v>AÑO: 2014</v>
      </c>
      <c r="B5" s="16"/>
      <c r="C5" s="543" t="s">
        <v>3</v>
      </c>
      <c r="D5" s="544"/>
      <c r="E5" s="545"/>
      <c r="F5" s="18"/>
      <c r="G5" s="20"/>
    </row>
    <row r="6" spans="1:7" ht="12.75" x14ac:dyDescent="0.2">
      <c r="A6" s="21"/>
      <c r="B6" s="21"/>
      <c r="C6" s="546">
        <f>[4]NOMBRE!B7</f>
        <v>2014</v>
      </c>
      <c r="D6" s="547"/>
      <c r="E6" s="548"/>
      <c r="F6" s="18"/>
      <c r="G6" s="20"/>
    </row>
    <row r="7" spans="1:7" ht="15" x14ac:dyDescent="0.2">
      <c r="A7" s="555" t="s">
        <v>4</v>
      </c>
      <c r="B7" s="556"/>
      <c r="C7" s="560" t="s">
        <v>5</v>
      </c>
      <c r="D7" s="561"/>
      <c r="E7" s="562"/>
      <c r="F7" s="18"/>
      <c r="G7" s="20"/>
    </row>
    <row r="8" spans="1:7" ht="15" x14ac:dyDescent="0.2">
      <c r="A8" s="21"/>
      <c r="B8" s="245" t="s">
        <v>6</v>
      </c>
      <c r="C8" s="546" t="str">
        <f>CONCATENATE([4]NOMBRE!B3," ","( ",[4]NOMBRE!C3,[4]NOMBRE!D3,[4]NOMBRE!E3,[4]NOMBRE!F3,[4]NOMBRE!G3," )")</f>
        <v>HOSPITAL DE LINARES  ( 11610 )</v>
      </c>
      <c r="D8" s="547"/>
      <c r="E8" s="548"/>
      <c r="F8" s="18"/>
      <c r="G8" s="20"/>
    </row>
    <row r="9" spans="1:7" ht="12.75" x14ac:dyDescent="0.2">
      <c r="A9" s="21"/>
      <c r="B9" s="21"/>
      <c r="C9" s="21"/>
      <c r="D9" s="21"/>
      <c r="E9" s="21"/>
      <c r="F9" s="18"/>
      <c r="G9" s="20"/>
    </row>
    <row r="10" spans="1:7" ht="12.75" x14ac:dyDescent="0.2">
      <c r="A10" s="21"/>
      <c r="B10" s="21"/>
      <c r="C10" s="21"/>
      <c r="D10" s="21"/>
      <c r="E10" s="21"/>
      <c r="F10" s="18"/>
      <c r="G10" s="22"/>
    </row>
    <row r="11" spans="1:7" ht="12.75" x14ac:dyDescent="0.2">
      <c r="A11" s="549" t="s">
        <v>7</v>
      </c>
      <c r="B11" s="550"/>
      <c r="C11" s="550"/>
      <c r="D11" s="550"/>
      <c r="E11" s="551"/>
      <c r="F11" s="18"/>
    </row>
    <row r="12" spans="1:7" ht="43.5" customHeight="1" x14ac:dyDescent="0.2">
      <c r="A12" s="1" t="s">
        <v>8</v>
      </c>
      <c r="B12" s="1" t="s">
        <v>9</v>
      </c>
      <c r="C12" s="242" t="s">
        <v>10</v>
      </c>
      <c r="D12" s="3" t="s">
        <v>11</v>
      </c>
      <c r="E12" s="244" t="s">
        <v>12</v>
      </c>
      <c r="F12" s="21"/>
    </row>
    <row r="13" spans="1:7" ht="12.75" customHeight="1" x14ac:dyDescent="0.2">
      <c r="A13" s="552" t="s">
        <v>13</v>
      </c>
      <c r="B13" s="553"/>
      <c r="C13" s="553"/>
      <c r="D13" s="553"/>
      <c r="E13" s="554"/>
      <c r="F13" s="21"/>
    </row>
    <row r="14" spans="1:7" ht="15" customHeight="1" x14ac:dyDescent="0.2">
      <c r="A14" s="179" t="s">
        <v>14</v>
      </c>
      <c r="B14" s="188" t="s">
        <v>15</v>
      </c>
      <c r="C14" s="132">
        <f>[4]BS17A!$D13</f>
        <v>0</v>
      </c>
      <c r="D14" s="23">
        <f>[4]BS17A!$U13</f>
        <v>4050</v>
      </c>
      <c r="E14" s="24">
        <f>[4]BS17A!$V13</f>
        <v>0</v>
      </c>
      <c r="F14" s="21"/>
    </row>
    <row r="15" spans="1:7" ht="15" customHeight="1" x14ac:dyDescent="0.2">
      <c r="A15" s="180" t="s">
        <v>16</v>
      </c>
      <c r="B15" s="177" t="s">
        <v>17</v>
      </c>
      <c r="C15" s="132">
        <f>[4]BS17A!$D14</f>
        <v>0</v>
      </c>
      <c r="D15" s="26">
        <f>[4]BS17A!$U14</f>
        <v>5090</v>
      </c>
      <c r="E15" s="27">
        <f>[4]BS17A!$V14</f>
        <v>0</v>
      </c>
      <c r="F15" s="21"/>
    </row>
    <row r="16" spans="1:7" ht="15" customHeight="1" x14ac:dyDescent="0.2">
      <c r="A16" s="180" t="s">
        <v>18</v>
      </c>
      <c r="B16" s="177" t="s">
        <v>19</v>
      </c>
      <c r="C16" s="132">
        <f>[4]BS17A!$D15</f>
        <v>6779</v>
      </c>
      <c r="D16" s="26">
        <f>[4]BS17A!$U15</f>
        <v>10920</v>
      </c>
      <c r="E16" s="27">
        <f>[4]BS17A!$V15</f>
        <v>74026680</v>
      </c>
      <c r="F16" s="21"/>
    </row>
    <row r="17" spans="1:6" ht="15" customHeight="1" x14ac:dyDescent="0.2">
      <c r="A17" s="180" t="s">
        <v>20</v>
      </c>
      <c r="B17" s="177" t="s">
        <v>21</v>
      </c>
      <c r="C17" s="132">
        <f>[4]BS17A!$D16</f>
        <v>0</v>
      </c>
      <c r="D17" s="26">
        <f>[4]BS17A!$U16</f>
        <v>6520</v>
      </c>
      <c r="E17" s="27">
        <f>[4]BS17A!$V16</f>
        <v>0</v>
      </c>
      <c r="F17" s="21"/>
    </row>
    <row r="18" spans="1:6" ht="15" customHeight="1" x14ac:dyDescent="0.2">
      <c r="A18" s="180" t="s">
        <v>22</v>
      </c>
      <c r="B18" s="177" t="s">
        <v>23</v>
      </c>
      <c r="C18" s="132">
        <f>[4]BS17A!$D17</f>
        <v>0</v>
      </c>
      <c r="D18" s="26">
        <f>[4]BS17A!$U17</f>
        <v>7160</v>
      </c>
      <c r="E18" s="27">
        <f>[4]BS17A!$V17</f>
        <v>0</v>
      </c>
      <c r="F18" s="21"/>
    </row>
    <row r="19" spans="1:6" ht="33" customHeight="1" x14ac:dyDescent="0.2">
      <c r="A19" s="180" t="s">
        <v>24</v>
      </c>
      <c r="B19" s="14" t="s">
        <v>25</v>
      </c>
      <c r="C19" s="132">
        <f>[4]BS17A!$D20</f>
        <v>0</v>
      </c>
      <c r="D19" s="26">
        <f>[4]BS17A!$U20</f>
        <v>5520</v>
      </c>
      <c r="E19" s="27">
        <f>[4]BS17A!$V20</f>
        <v>0</v>
      </c>
      <c r="F19" s="21"/>
    </row>
    <row r="20" spans="1:6" ht="42.75" customHeight="1" x14ac:dyDescent="0.2">
      <c r="A20" s="180" t="s">
        <v>26</v>
      </c>
      <c r="B20" s="14" t="s">
        <v>27</v>
      </c>
      <c r="C20" s="132">
        <f>[4]BS17A!$D21</f>
        <v>0</v>
      </c>
      <c r="D20" s="26">
        <f>[4]BS17A!$U21</f>
        <v>6620</v>
      </c>
      <c r="E20" s="27">
        <f>[4]BS17A!$V21</f>
        <v>0</v>
      </c>
      <c r="F20" s="21"/>
    </row>
    <row r="21" spans="1:6" ht="42.75" customHeight="1" x14ac:dyDescent="0.2">
      <c r="A21" s="180" t="s">
        <v>28</v>
      </c>
      <c r="B21" s="14" t="s">
        <v>29</v>
      </c>
      <c r="C21" s="132">
        <f>[4]BS17A!$D22</f>
        <v>0</v>
      </c>
      <c r="D21" s="26">
        <f>[4]BS17A!$U22</f>
        <v>8210</v>
      </c>
      <c r="E21" s="27">
        <f>[4]BS17A!$V22</f>
        <v>0</v>
      </c>
      <c r="F21" s="21"/>
    </row>
    <row r="22" spans="1:6" ht="32.25" customHeight="1" x14ac:dyDescent="0.2">
      <c r="A22" s="180" t="s">
        <v>30</v>
      </c>
      <c r="B22" s="14" t="s">
        <v>31</v>
      </c>
      <c r="C22" s="132">
        <f>[4]BS17A!$D23</f>
        <v>1924</v>
      </c>
      <c r="D22" s="26">
        <f>[4]BS17A!$U23</f>
        <v>5520</v>
      </c>
      <c r="E22" s="27">
        <f>[4]BS17A!$V23</f>
        <v>10620480</v>
      </c>
      <c r="F22" s="21"/>
    </row>
    <row r="23" spans="1:6" ht="40.5" customHeight="1" x14ac:dyDescent="0.2">
      <c r="A23" s="180" t="s">
        <v>32</v>
      </c>
      <c r="B23" s="14" t="s">
        <v>33</v>
      </c>
      <c r="C23" s="132">
        <f>[4]BS17A!$D24</f>
        <v>1102</v>
      </c>
      <c r="D23" s="26">
        <f>[4]BS17A!$U24</f>
        <v>6620</v>
      </c>
      <c r="E23" s="27">
        <f>[4]BS17A!$V24</f>
        <v>7295240</v>
      </c>
      <c r="F23" s="21"/>
    </row>
    <row r="24" spans="1:6" ht="27" customHeight="1" x14ac:dyDescent="0.2">
      <c r="A24" s="180" t="s">
        <v>34</v>
      </c>
      <c r="B24" s="14" t="s">
        <v>35</v>
      </c>
      <c r="C24" s="132">
        <f>[4]BS17A!$D25</f>
        <v>2358</v>
      </c>
      <c r="D24" s="26">
        <f>[4]BS17A!$U25</f>
        <v>8210</v>
      </c>
      <c r="E24" s="27">
        <f>[4]BS17A!$V25</f>
        <v>19359180</v>
      </c>
      <c r="F24" s="21"/>
    </row>
    <row r="25" spans="1:6" ht="15" customHeight="1" x14ac:dyDescent="0.2">
      <c r="A25" s="180" t="s">
        <v>36</v>
      </c>
      <c r="B25" s="176" t="s">
        <v>37</v>
      </c>
      <c r="C25" s="132">
        <f>+[4]BS17A!$D795</f>
        <v>203</v>
      </c>
      <c r="D25" s="26">
        <f>+[4]BS17A!$U795</f>
        <v>6700</v>
      </c>
      <c r="E25" s="27">
        <f>+[4]BS17A!$V795</f>
        <v>1360100</v>
      </c>
      <c r="F25" s="21"/>
    </row>
    <row r="26" spans="1:6" ht="15" customHeight="1" x14ac:dyDescent="0.2">
      <c r="A26" s="181" t="s">
        <v>38</v>
      </c>
      <c r="B26" s="195" t="s">
        <v>39</v>
      </c>
      <c r="C26" s="142">
        <f>+[4]BS17A!$D800</f>
        <v>0</v>
      </c>
      <c r="D26" s="28">
        <f>+[4]BS17A!$U800</f>
        <v>27750</v>
      </c>
      <c r="E26" s="29">
        <f>+[4]BS17A!$V800</f>
        <v>0</v>
      </c>
      <c r="F26" s="21"/>
    </row>
    <row r="27" spans="1:6" ht="18" customHeight="1" x14ac:dyDescent="0.2">
      <c r="A27" s="552" t="s">
        <v>40</v>
      </c>
      <c r="B27" s="553"/>
      <c r="C27" s="553"/>
      <c r="D27" s="553"/>
      <c r="E27" s="554"/>
      <c r="F27" s="21"/>
    </row>
    <row r="28" spans="1:6" ht="15" customHeight="1" x14ac:dyDescent="0.2">
      <c r="A28" s="179" t="s">
        <v>41</v>
      </c>
      <c r="B28" s="188" t="s">
        <v>42</v>
      </c>
      <c r="C28" s="135">
        <f>[4]BS17A!$D27</f>
        <v>1888</v>
      </c>
      <c r="D28" s="23">
        <f>[4]BS17A!$U27</f>
        <v>1080</v>
      </c>
      <c r="E28" s="24">
        <f>[4]BS17A!$V27</f>
        <v>2039040</v>
      </c>
      <c r="F28" s="21"/>
    </row>
    <row r="29" spans="1:6" ht="15" customHeight="1" x14ac:dyDescent="0.2">
      <c r="A29" s="180" t="s">
        <v>43</v>
      </c>
      <c r="B29" s="194" t="s">
        <v>44</v>
      </c>
      <c r="C29" s="132">
        <f>[4]BS17A!$D28</f>
        <v>0</v>
      </c>
      <c r="D29" s="26">
        <f>[4]BS17A!$U28</f>
        <v>1840</v>
      </c>
      <c r="E29" s="27">
        <f>[4]BS17A!$V28</f>
        <v>0</v>
      </c>
      <c r="F29" s="21"/>
    </row>
    <row r="30" spans="1:6" ht="15" customHeight="1" x14ac:dyDescent="0.2">
      <c r="A30" s="180" t="s">
        <v>45</v>
      </c>
      <c r="B30" s="177" t="s">
        <v>46</v>
      </c>
      <c r="C30" s="132">
        <f>[4]BS17A!$D29</f>
        <v>0</v>
      </c>
      <c r="D30" s="26">
        <f>[4]BS17A!$U29</f>
        <v>590</v>
      </c>
      <c r="E30" s="27">
        <f>[4]BS17A!$V29</f>
        <v>0</v>
      </c>
      <c r="F30" s="21"/>
    </row>
    <row r="31" spans="1:6" ht="15" customHeight="1" x14ac:dyDescent="0.2">
      <c r="A31" s="180" t="s">
        <v>47</v>
      </c>
      <c r="B31" s="177" t="s">
        <v>48</v>
      </c>
      <c r="C31" s="132">
        <f>[4]BS17A!$D30</f>
        <v>128</v>
      </c>
      <c r="D31" s="26">
        <f>[4]BS17A!$U30</f>
        <v>1460</v>
      </c>
      <c r="E31" s="27">
        <f>[4]BS17A!$V30</f>
        <v>186880</v>
      </c>
      <c r="F31" s="21"/>
    </row>
    <row r="32" spans="1:6" ht="15" customHeight="1" x14ac:dyDescent="0.2">
      <c r="A32" s="180" t="s">
        <v>49</v>
      </c>
      <c r="B32" s="177" t="s">
        <v>50</v>
      </c>
      <c r="C32" s="132">
        <f>[4]BS17A!$D31</f>
        <v>906</v>
      </c>
      <c r="D32" s="26">
        <f>[4]BS17A!$U31</f>
        <v>1170</v>
      </c>
      <c r="E32" s="27">
        <f>[4]BS17A!$V31</f>
        <v>1060020</v>
      </c>
      <c r="F32" s="21"/>
    </row>
    <row r="33" spans="1:6" ht="15" customHeight="1" x14ac:dyDescent="0.2">
      <c r="A33" s="180" t="s">
        <v>51</v>
      </c>
      <c r="B33" s="194" t="s">
        <v>52</v>
      </c>
      <c r="C33" s="132">
        <f>[4]BS17A!$D32</f>
        <v>0</v>
      </c>
      <c r="D33" s="26">
        <f>[4]BS17A!$U32</f>
        <v>1080</v>
      </c>
      <c r="E33" s="27">
        <f>[4]BS17A!$V32</f>
        <v>0</v>
      </c>
      <c r="F33" s="21"/>
    </row>
    <row r="34" spans="1:6" ht="15" customHeight="1" x14ac:dyDescent="0.2">
      <c r="A34" s="180" t="s">
        <v>53</v>
      </c>
      <c r="B34" s="177" t="s">
        <v>54</v>
      </c>
      <c r="C34" s="132">
        <f>+[4]BS17A!$D796</f>
        <v>353</v>
      </c>
      <c r="D34" s="26">
        <f>+[4]BS17A!$U796</f>
        <v>2620</v>
      </c>
      <c r="E34" s="27">
        <f>+[4]BS17A!$V796</f>
        <v>924860</v>
      </c>
      <c r="F34" s="21"/>
    </row>
    <row r="35" spans="1:6" ht="15" customHeight="1" x14ac:dyDescent="0.2">
      <c r="A35" s="180" t="s">
        <v>55</v>
      </c>
      <c r="B35" s="194" t="s">
        <v>56</v>
      </c>
      <c r="C35" s="132">
        <f>+[4]BS17A!$D797</f>
        <v>636</v>
      </c>
      <c r="D35" s="26">
        <f>+[4]BS17A!$U797</f>
        <v>2620</v>
      </c>
      <c r="E35" s="27">
        <f>+[4]BS17A!$V797</f>
        <v>1666320</v>
      </c>
      <c r="F35" s="21"/>
    </row>
    <row r="36" spans="1:6" ht="15" customHeight="1" x14ac:dyDescent="0.2">
      <c r="A36" s="180" t="s">
        <v>57</v>
      </c>
      <c r="B36" s="194" t="s">
        <v>58</v>
      </c>
      <c r="C36" s="132">
        <f>+[4]BS17A!$D798</f>
        <v>0</v>
      </c>
      <c r="D36" s="26">
        <f>+[4]BS17A!$U798</f>
        <v>10450</v>
      </c>
      <c r="E36" s="27">
        <f>+[4]BS17A!$V798</f>
        <v>0</v>
      </c>
      <c r="F36" s="21"/>
    </row>
    <row r="37" spans="1:6" ht="15" customHeight="1" x14ac:dyDescent="0.2">
      <c r="A37" s="181" t="s">
        <v>59</v>
      </c>
      <c r="B37" s="224" t="s">
        <v>60</v>
      </c>
      <c r="C37" s="142">
        <f>+[4]BS17A!$D799</f>
        <v>43</v>
      </c>
      <c r="D37" s="28">
        <f>+[4]BS17A!$U799</f>
        <v>12230</v>
      </c>
      <c r="E37" s="29">
        <f>+[4]BS17A!$V799</f>
        <v>525890</v>
      </c>
      <c r="F37" s="21"/>
    </row>
    <row r="38" spans="1:6" ht="18" customHeight="1" x14ac:dyDescent="0.2">
      <c r="A38" s="557" t="s">
        <v>61</v>
      </c>
      <c r="B38" s="558"/>
      <c r="C38" s="558"/>
      <c r="D38" s="558"/>
      <c r="E38" s="559"/>
      <c r="F38" s="21"/>
    </row>
    <row r="39" spans="1:6" ht="15" customHeight="1" x14ac:dyDescent="0.2">
      <c r="A39" s="179" t="s">
        <v>62</v>
      </c>
      <c r="B39" s="175" t="s">
        <v>63</v>
      </c>
      <c r="C39" s="135">
        <f>+[4]BS17A!$D801</f>
        <v>0</v>
      </c>
      <c r="D39" s="31">
        <f>+[4]BS17A!$U801</f>
        <v>3450</v>
      </c>
      <c r="E39" s="32">
        <f>+[4]BS17A!$V801</f>
        <v>0</v>
      </c>
      <c r="F39" s="21"/>
    </row>
    <row r="40" spans="1:6" ht="15" customHeight="1" x14ac:dyDescent="0.2">
      <c r="A40" s="181" t="s">
        <v>64</v>
      </c>
      <c r="B40" s="189" t="s">
        <v>65</v>
      </c>
      <c r="C40" s="142">
        <f>+[4]BS17A!$D802</f>
        <v>0</v>
      </c>
      <c r="D40" s="33">
        <f>+[4]BS17A!$U802</f>
        <v>8909</v>
      </c>
      <c r="E40" s="34">
        <f>+[4]BS17A!$V802</f>
        <v>0</v>
      </c>
      <c r="F40" s="21"/>
    </row>
    <row r="41" spans="1:6" ht="18" customHeight="1" x14ac:dyDescent="0.2">
      <c r="A41" s="557" t="s">
        <v>66</v>
      </c>
      <c r="B41" s="558"/>
      <c r="C41" s="558"/>
      <c r="D41" s="558"/>
      <c r="E41" s="559"/>
      <c r="F41" s="21"/>
    </row>
    <row r="42" spans="1:6" ht="15" customHeight="1" x14ac:dyDescent="0.2">
      <c r="A42" s="179" t="s">
        <v>67</v>
      </c>
      <c r="B42" s="196" t="s">
        <v>68</v>
      </c>
      <c r="C42" s="135">
        <f>+[4]BS17A!$D34</f>
        <v>44</v>
      </c>
      <c r="D42" s="31">
        <f>+[4]BS17A!$U34</f>
        <v>3530</v>
      </c>
      <c r="E42" s="32">
        <f>+[4]BS17A!$V34</f>
        <v>155320</v>
      </c>
      <c r="F42" s="21"/>
    </row>
    <row r="43" spans="1:6" ht="15" customHeight="1" x14ac:dyDescent="0.2">
      <c r="A43" s="180" t="s">
        <v>69</v>
      </c>
      <c r="B43" s="177" t="s">
        <v>70</v>
      </c>
      <c r="C43" s="132">
        <f>+[4]BS17A!$D35</f>
        <v>574</v>
      </c>
      <c r="D43" s="26">
        <f>+[4]BS17A!$U35</f>
        <v>1940</v>
      </c>
      <c r="E43" s="27">
        <f>+[4]BS17A!$V35</f>
        <v>1113560</v>
      </c>
      <c r="F43" s="21"/>
    </row>
    <row r="44" spans="1:6" ht="15" customHeight="1" x14ac:dyDescent="0.2">
      <c r="A44" s="180" t="s">
        <v>71</v>
      </c>
      <c r="B44" s="177" t="s">
        <v>72</v>
      </c>
      <c r="C44" s="132">
        <f>+[4]BS17A!$D36</f>
        <v>608</v>
      </c>
      <c r="D44" s="26">
        <f>+[4]BS17A!$U36</f>
        <v>1940</v>
      </c>
      <c r="E44" s="27">
        <f>+[4]BS17A!$V36</f>
        <v>1179520</v>
      </c>
      <c r="F44" s="21"/>
    </row>
    <row r="45" spans="1:6" ht="15" customHeight="1" x14ac:dyDescent="0.2">
      <c r="A45" s="181" t="s">
        <v>73</v>
      </c>
      <c r="B45" s="178" t="s">
        <v>74</v>
      </c>
      <c r="C45" s="142">
        <f>+[4]BS17A!$D37</f>
        <v>0</v>
      </c>
      <c r="D45" s="33">
        <f>+[4]BS17A!$U37</f>
        <v>590</v>
      </c>
      <c r="E45" s="34">
        <f>+[4]BS17A!$V37</f>
        <v>0</v>
      </c>
      <c r="F45" s="21"/>
    </row>
    <row r="46" spans="1:6" ht="18" customHeight="1" x14ac:dyDescent="0.2">
      <c r="A46" s="557" t="s">
        <v>75</v>
      </c>
      <c r="B46" s="558"/>
      <c r="C46" s="558"/>
      <c r="D46" s="558"/>
      <c r="E46" s="559"/>
      <c r="F46" s="21"/>
    </row>
    <row r="47" spans="1:6" ht="15" customHeight="1" x14ac:dyDescent="0.2">
      <c r="A47" s="179" t="s">
        <v>76</v>
      </c>
      <c r="B47" s="196" t="s">
        <v>77</v>
      </c>
      <c r="C47" s="135">
        <f>+[4]BS17A!$D39</f>
        <v>20</v>
      </c>
      <c r="D47" s="31">
        <f>+[4]BS17A!$U39</f>
        <v>1680</v>
      </c>
      <c r="E47" s="32">
        <f>+[4]BS17A!$V39</f>
        <v>33600</v>
      </c>
      <c r="F47" s="21"/>
    </row>
    <row r="48" spans="1:6" ht="15" customHeight="1" x14ac:dyDescent="0.2">
      <c r="A48" s="180" t="s">
        <v>78</v>
      </c>
      <c r="B48" s="177" t="s">
        <v>79</v>
      </c>
      <c r="C48" s="132">
        <f>+[4]BS17A!$D40</f>
        <v>30</v>
      </c>
      <c r="D48" s="26">
        <f>+[4]BS17A!$U40</f>
        <v>1680</v>
      </c>
      <c r="E48" s="27">
        <f>+[4]BS17A!$V40</f>
        <v>50400</v>
      </c>
      <c r="F48" s="21"/>
    </row>
    <row r="49" spans="1:7" ht="15" customHeight="1" x14ac:dyDescent="0.2">
      <c r="A49" s="181" t="s">
        <v>80</v>
      </c>
      <c r="B49" s="178" t="s">
        <v>81</v>
      </c>
      <c r="C49" s="142">
        <f>+[4]BS17A!$D41</f>
        <v>0</v>
      </c>
      <c r="D49" s="33">
        <f>+[4]BS17A!$U41</f>
        <v>970</v>
      </c>
      <c r="E49" s="34">
        <f>+[4]BS17A!$V41</f>
        <v>0</v>
      </c>
      <c r="F49" s="21"/>
    </row>
    <row r="50" spans="1:7" ht="18" customHeight="1" x14ac:dyDescent="0.2">
      <c r="A50" s="35"/>
      <c r="B50" s="157" t="s">
        <v>82</v>
      </c>
      <c r="C50" s="35">
        <f>SUM(C14:C49)</f>
        <v>17596</v>
      </c>
      <c r="D50" s="36"/>
      <c r="E50" s="37">
        <f>SUM(E14:E49)</f>
        <v>121597090</v>
      </c>
      <c r="F50" s="21"/>
    </row>
    <row r="51" spans="1:7" ht="18" customHeight="1" x14ac:dyDescent="0.2">
      <c r="A51" s="38"/>
      <c r="B51" s="38"/>
      <c r="C51" s="38"/>
      <c r="D51" s="39"/>
      <c r="E51" s="40"/>
      <c r="F51" s="21"/>
    </row>
    <row r="52" spans="1:7" ht="12.75" x14ac:dyDescent="0.2">
      <c r="A52" s="21"/>
      <c r="B52" s="21"/>
      <c r="C52" s="21"/>
      <c r="D52" s="21"/>
      <c r="E52" s="21"/>
      <c r="F52" s="41"/>
      <c r="G52" s="42"/>
    </row>
    <row r="53" spans="1:7" ht="12.75" x14ac:dyDescent="0.2">
      <c r="A53" s="557" t="s">
        <v>83</v>
      </c>
      <c r="B53" s="558"/>
      <c r="C53" s="558"/>
      <c r="D53" s="558"/>
      <c r="E53" s="559"/>
      <c r="F53" s="41"/>
      <c r="G53" s="42"/>
    </row>
    <row r="54" spans="1:7" ht="42.75" customHeight="1" x14ac:dyDescent="0.2">
      <c r="A54" s="1" t="s">
        <v>8</v>
      </c>
      <c r="B54" s="1" t="s">
        <v>84</v>
      </c>
      <c r="C54" s="242" t="s">
        <v>10</v>
      </c>
      <c r="D54" s="4"/>
      <c r="E54" s="244" t="s">
        <v>12</v>
      </c>
      <c r="F54" s="21"/>
    </row>
    <row r="55" spans="1:7" ht="18" customHeight="1" x14ac:dyDescent="0.2">
      <c r="A55" s="246" t="s">
        <v>85</v>
      </c>
      <c r="B55" s="214" t="s">
        <v>86</v>
      </c>
      <c r="C55" s="68">
        <f>+[4]BS17!$D12</f>
        <v>65167</v>
      </c>
      <c r="D55" s="44"/>
      <c r="E55" s="45">
        <f>+E56+E57+E58+E59+E60+E61+E65+E66+E67</f>
        <v>86690930</v>
      </c>
      <c r="F55" s="21"/>
    </row>
    <row r="56" spans="1:7" ht="15" customHeight="1" x14ac:dyDescent="0.2">
      <c r="A56" s="212" t="s">
        <v>87</v>
      </c>
      <c r="B56" s="188" t="s">
        <v>88</v>
      </c>
      <c r="C56" s="172">
        <f>+[4]BS17!$D13</f>
        <v>24175</v>
      </c>
      <c r="D56" s="46"/>
      <c r="E56" s="47">
        <f>+[4]BS17A!V83</f>
        <v>24901350</v>
      </c>
      <c r="F56" s="21"/>
    </row>
    <row r="57" spans="1:7" ht="15" customHeight="1" x14ac:dyDescent="0.2">
      <c r="A57" s="180" t="s">
        <v>89</v>
      </c>
      <c r="B57" s="176" t="s">
        <v>90</v>
      </c>
      <c r="C57" s="132">
        <f>+[4]BS17!$D14</f>
        <v>29990</v>
      </c>
      <c r="D57" s="49"/>
      <c r="E57" s="50">
        <f>+[4]BS17A!V174</f>
        <v>34079430</v>
      </c>
      <c r="F57" s="21"/>
    </row>
    <row r="58" spans="1:7" ht="15" customHeight="1" x14ac:dyDescent="0.2">
      <c r="A58" s="180" t="s">
        <v>91</v>
      </c>
      <c r="B58" s="176" t="s">
        <v>92</v>
      </c>
      <c r="C58" s="132">
        <f>+[4]BS17!$D15</f>
        <v>1183</v>
      </c>
      <c r="D58" s="49"/>
      <c r="E58" s="50">
        <f>+[4]BS17A!V243</f>
        <v>3998760</v>
      </c>
      <c r="F58" s="21"/>
    </row>
    <row r="59" spans="1:7" ht="15" customHeight="1" x14ac:dyDescent="0.2">
      <c r="A59" s="180" t="s">
        <v>93</v>
      </c>
      <c r="B59" s="176" t="s">
        <v>94</v>
      </c>
      <c r="C59" s="132">
        <f>+[4]BS17!$D16</f>
        <v>0</v>
      </c>
      <c r="D59" s="49"/>
      <c r="E59" s="50">
        <f>+[4]BS17A!V289</f>
        <v>0</v>
      </c>
      <c r="F59" s="21"/>
    </row>
    <row r="60" spans="1:7" ht="15" customHeight="1" x14ac:dyDescent="0.2">
      <c r="A60" s="207" t="s">
        <v>95</v>
      </c>
      <c r="B60" s="195" t="s">
        <v>96</v>
      </c>
      <c r="C60" s="156">
        <f>+[4]BS17!$D17</f>
        <v>1522</v>
      </c>
      <c r="D60" s="51"/>
      <c r="E60" s="52">
        <f>+[4]BS17A!V295</f>
        <v>6960840</v>
      </c>
      <c r="F60" s="21"/>
    </row>
    <row r="61" spans="1:7" ht="15" customHeight="1" x14ac:dyDescent="0.2">
      <c r="A61" s="179" t="s">
        <v>97</v>
      </c>
      <c r="B61" s="215" t="s">
        <v>98</v>
      </c>
      <c r="C61" s="158">
        <f>+[4]BS17!$D18</f>
        <v>5387</v>
      </c>
      <c r="D61" s="53"/>
      <c r="E61" s="54">
        <f>SUM(E62:E64)</f>
        <v>13260260</v>
      </c>
      <c r="F61" s="21"/>
    </row>
    <row r="62" spans="1:7" ht="15" customHeight="1" x14ac:dyDescent="0.2">
      <c r="A62" s="218"/>
      <c r="B62" s="196" t="s">
        <v>99</v>
      </c>
      <c r="C62" s="135">
        <f>+[4]BS17!$D19</f>
        <v>4550</v>
      </c>
      <c r="D62" s="55"/>
      <c r="E62" s="56">
        <f>+[4]BS17A!V362</f>
        <v>9994040</v>
      </c>
      <c r="F62" s="21"/>
    </row>
    <row r="63" spans="1:7" ht="15" customHeight="1" x14ac:dyDescent="0.2">
      <c r="A63" s="218"/>
      <c r="B63" s="176" t="s">
        <v>100</v>
      </c>
      <c r="C63" s="132">
        <f>+[4]BS17!$D20</f>
        <v>52</v>
      </c>
      <c r="D63" s="49"/>
      <c r="E63" s="50">
        <f>+[4]BS17A!V405</f>
        <v>142910</v>
      </c>
      <c r="F63" s="21"/>
    </row>
    <row r="64" spans="1:7" ht="15" customHeight="1" x14ac:dyDescent="0.2">
      <c r="A64" s="219"/>
      <c r="B64" s="178" t="s">
        <v>101</v>
      </c>
      <c r="C64" s="142">
        <f>+[4]BS17!$D21</f>
        <v>785</v>
      </c>
      <c r="D64" s="57"/>
      <c r="E64" s="58">
        <f>+[4]BS17A!V428</f>
        <v>3123310</v>
      </c>
      <c r="F64" s="21"/>
    </row>
    <row r="65" spans="1:7" ht="15" customHeight="1" x14ac:dyDescent="0.2">
      <c r="A65" s="212" t="s">
        <v>102</v>
      </c>
      <c r="B65" s="211" t="s">
        <v>103</v>
      </c>
      <c r="C65" s="172">
        <f>+[4]BS17!$D22</f>
        <v>0</v>
      </c>
      <c r="D65" s="46"/>
      <c r="E65" s="47">
        <f>+[4]BS17A!V446</f>
        <v>0</v>
      </c>
      <c r="F65" s="21"/>
    </row>
    <row r="66" spans="1:7" ht="15" customHeight="1" x14ac:dyDescent="0.2">
      <c r="A66" s="180" t="s">
        <v>104</v>
      </c>
      <c r="B66" s="176" t="s">
        <v>105</v>
      </c>
      <c r="C66" s="132">
        <f>+[4]BS17!$D23</f>
        <v>81</v>
      </c>
      <c r="D66" s="49"/>
      <c r="E66" s="50">
        <f>+[4]BS17A!V456</f>
        <v>162850</v>
      </c>
      <c r="F66" s="21"/>
    </row>
    <row r="67" spans="1:7" ht="15" customHeight="1" x14ac:dyDescent="0.2">
      <c r="A67" s="207" t="s">
        <v>106</v>
      </c>
      <c r="B67" s="195" t="s">
        <v>107</v>
      </c>
      <c r="C67" s="156">
        <f>+[4]BS17!$D24</f>
        <v>2829</v>
      </c>
      <c r="D67" s="51"/>
      <c r="E67" s="52">
        <f>+[4]BS17A!V500</f>
        <v>3327440</v>
      </c>
      <c r="F67" s="21"/>
    </row>
    <row r="68" spans="1:7" ht="15" customHeight="1" x14ac:dyDescent="0.2">
      <c r="A68" s="220" t="s">
        <v>108</v>
      </c>
      <c r="B68" s="210" t="s">
        <v>109</v>
      </c>
      <c r="C68" s="173">
        <f>+[4]BS17!$D25</f>
        <v>4252</v>
      </c>
      <c r="D68" s="59"/>
      <c r="E68" s="60">
        <f>SUM(E69:E74)</f>
        <v>64452370</v>
      </c>
      <c r="F68" s="21"/>
    </row>
    <row r="69" spans="1:7" ht="15" customHeight="1" x14ac:dyDescent="0.2">
      <c r="A69" s="180" t="s">
        <v>110</v>
      </c>
      <c r="B69" s="176" t="s">
        <v>111</v>
      </c>
      <c r="C69" s="132">
        <f>+[4]BS17!$D26</f>
        <v>2880</v>
      </c>
      <c r="D69" s="49"/>
      <c r="E69" s="50">
        <f>+[4]BS17A!V535</f>
        <v>23599620</v>
      </c>
      <c r="F69" s="21"/>
    </row>
    <row r="70" spans="1:7" ht="15" customHeight="1" x14ac:dyDescent="0.2">
      <c r="A70" s="180" t="s">
        <v>112</v>
      </c>
      <c r="B70" s="176" t="s">
        <v>113</v>
      </c>
      <c r="C70" s="132">
        <f>+[4]BS17!$D27</f>
        <v>3</v>
      </c>
      <c r="D70" s="49"/>
      <c r="E70" s="50">
        <f>+[4]BS17A!V590</f>
        <v>47250</v>
      </c>
      <c r="F70" s="21"/>
    </row>
    <row r="71" spans="1:7" ht="15" customHeight="1" x14ac:dyDescent="0.2">
      <c r="A71" s="180" t="s">
        <v>114</v>
      </c>
      <c r="B71" s="176" t="s">
        <v>115</v>
      </c>
      <c r="C71" s="132">
        <f>+[4]BS17!$D28</f>
        <v>640</v>
      </c>
      <c r="D71" s="49"/>
      <c r="E71" s="50">
        <f>+[4]BS17A!V615</f>
        <v>31091090</v>
      </c>
      <c r="F71" s="21"/>
    </row>
    <row r="72" spans="1:7" ht="15" customHeight="1" x14ac:dyDescent="0.2">
      <c r="A72" s="180" t="s">
        <v>116</v>
      </c>
      <c r="B72" s="176" t="s">
        <v>117</v>
      </c>
      <c r="C72" s="132">
        <f>+[4]BS17!$D30+[4]BS17!$D32</f>
        <v>456</v>
      </c>
      <c r="D72" s="49"/>
      <c r="E72" s="50">
        <f>+[4]BS17A!V633-[4]BS17A!V634</f>
        <v>8365790</v>
      </c>
      <c r="F72" s="21"/>
    </row>
    <row r="73" spans="1:7" ht="15" customHeight="1" x14ac:dyDescent="0.2">
      <c r="A73" s="221"/>
      <c r="B73" s="176" t="s">
        <v>118</v>
      </c>
      <c r="C73" s="132">
        <f>+[4]BS17!$D31</f>
        <v>273</v>
      </c>
      <c r="D73" s="49"/>
      <c r="E73" s="50">
        <f>+[4]BS17A!V634</f>
        <v>1348620</v>
      </c>
      <c r="F73" s="21"/>
    </row>
    <row r="74" spans="1:7" ht="15" customHeight="1" x14ac:dyDescent="0.2">
      <c r="A74" s="222" t="s">
        <v>119</v>
      </c>
      <c r="B74" s="216" t="s">
        <v>120</v>
      </c>
      <c r="C74" s="163">
        <f>+[4]BS17!$D33</f>
        <v>0</v>
      </c>
      <c r="D74" s="139"/>
      <c r="E74" s="140">
        <f>+[4]BS17A!V654</f>
        <v>0</v>
      </c>
      <c r="F74" s="21"/>
    </row>
    <row r="75" spans="1:7" ht="15" customHeight="1" x14ac:dyDescent="0.2">
      <c r="A75" s="223" t="s">
        <v>121</v>
      </c>
      <c r="B75" s="217" t="s">
        <v>122</v>
      </c>
      <c r="C75" s="174">
        <f>+[4]BS17!$D34</f>
        <v>0</v>
      </c>
      <c r="D75" s="61"/>
      <c r="E75" s="62">
        <f>+[4]BS17A!V783</f>
        <v>0</v>
      </c>
      <c r="F75" s="21"/>
    </row>
    <row r="76" spans="1:7" ht="15" customHeight="1" x14ac:dyDescent="0.2">
      <c r="A76" s="182"/>
      <c r="B76" s="247" t="s">
        <v>123</v>
      </c>
      <c r="C76" s="68">
        <f>+C55+C68+C75</f>
        <v>69419</v>
      </c>
      <c r="D76" s="44"/>
      <c r="E76" s="64">
        <f>+E55+E68+E75</f>
        <v>151143300</v>
      </c>
      <c r="F76" s="21"/>
    </row>
    <row r="77" spans="1:7" ht="12.75" x14ac:dyDescent="0.2">
      <c r="A77" s="21"/>
      <c r="B77" s="21"/>
      <c r="C77" s="21"/>
      <c r="D77" s="21"/>
      <c r="E77" s="21"/>
      <c r="F77" s="41"/>
      <c r="G77" s="42"/>
    </row>
    <row r="78" spans="1:7" ht="12.75" x14ac:dyDescent="0.2">
      <c r="A78" s="21"/>
      <c r="B78" s="21"/>
      <c r="C78" s="21"/>
      <c r="D78" s="21"/>
      <c r="E78" s="21"/>
      <c r="F78" s="41"/>
      <c r="G78" s="42"/>
    </row>
    <row r="79" spans="1:7" ht="12.75" x14ac:dyDescent="0.2">
      <c r="A79" s="549" t="s">
        <v>124</v>
      </c>
      <c r="B79" s="550"/>
      <c r="C79" s="550"/>
      <c r="D79" s="550"/>
      <c r="E79" s="551"/>
      <c r="F79" s="41"/>
      <c r="G79" s="42"/>
    </row>
    <row r="80" spans="1:7" ht="45" customHeight="1" x14ac:dyDescent="0.2">
      <c r="A80" s="1" t="s">
        <v>8</v>
      </c>
      <c r="B80" s="243" t="s">
        <v>9</v>
      </c>
      <c r="C80" s="2" t="s">
        <v>10</v>
      </c>
      <c r="D80" s="4"/>
      <c r="E80" s="5" t="s">
        <v>12</v>
      </c>
      <c r="F80" s="41"/>
      <c r="G80" s="42"/>
    </row>
    <row r="81" spans="1:6" ht="15" customHeight="1" x14ac:dyDescent="0.2">
      <c r="A81" s="213" t="s">
        <v>125</v>
      </c>
      <c r="B81" s="188" t="s">
        <v>126</v>
      </c>
      <c r="C81" s="135">
        <f>+[4]BS17!D49</f>
        <v>0</v>
      </c>
      <c r="D81" s="46"/>
      <c r="E81" s="65">
        <f>+SUM([4]BS17A!V673+[4]BS17A!V719)</f>
        <v>0</v>
      </c>
      <c r="F81" s="21"/>
    </row>
    <row r="82" spans="1:6" ht="15" customHeight="1" x14ac:dyDescent="0.2">
      <c r="A82" s="202">
        <v>2001</v>
      </c>
      <c r="B82" s="176" t="s">
        <v>127</v>
      </c>
      <c r="C82" s="132">
        <f>+[4]BS17!E130</f>
        <v>1469</v>
      </c>
      <c r="D82" s="49"/>
      <c r="E82" s="66">
        <f>+[4]BS17A!V1574</f>
        <v>12217330</v>
      </c>
      <c r="F82" s="21"/>
    </row>
    <row r="83" spans="1:6" ht="15" customHeight="1" x14ac:dyDescent="0.2">
      <c r="A83" s="207" t="s">
        <v>128</v>
      </c>
      <c r="B83" s="195" t="s">
        <v>129</v>
      </c>
      <c r="C83" s="156">
        <f>+[4]BS17A!D1849</f>
        <v>41</v>
      </c>
      <c r="D83" s="51"/>
      <c r="E83" s="67">
        <f>+[4]BS17A!V1849</f>
        <v>2551060</v>
      </c>
      <c r="F83" s="21"/>
    </row>
    <row r="84" spans="1:6" ht="17.25" customHeight="1" x14ac:dyDescent="0.2">
      <c r="A84" s="182"/>
      <c r="B84" s="247" t="s">
        <v>130</v>
      </c>
      <c r="C84" s="68">
        <f>+SUM(C81:C83)</f>
        <v>1510</v>
      </c>
      <c r="D84" s="44"/>
      <c r="E84" s="69">
        <f>SUM(E81:E83)</f>
        <v>14768390</v>
      </c>
      <c r="F84" s="21"/>
    </row>
    <row r="85" spans="1:6" ht="12.75" x14ac:dyDescent="0.2">
      <c r="A85" s="21"/>
      <c r="B85" s="21"/>
      <c r="C85" s="21"/>
      <c r="D85" s="21"/>
      <c r="E85" s="21"/>
      <c r="F85" s="21"/>
    </row>
    <row r="86" spans="1:6" ht="12.75" x14ac:dyDescent="0.2">
      <c r="A86" s="21"/>
      <c r="B86" s="21"/>
      <c r="C86" s="21"/>
      <c r="D86" s="21"/>
      <c r="E86" s="21"/>
      <c r="F86" s="18"/>
    </row>
    <row r="87" spans="1:6" ht="12.75" x14ac:dyDescent="0.15">
      <c r="A87" s="567" t="s">
        <v>131</v>
      </c>
      <c r="B87" s="568"/>
      <c r="C87" s="568"/>
      <c r="D87" s="568"/>
      <c r="E87" s="568"/>
      <c r="F87" s="569"/>
    </row>
    <row r="88" spans="1:6" ht="33.75" customHeight="1" x14ac:dyDescent="0.15">
      <c r="A88" s="570" t="s">
        <v>8</v>
      </c>
      <c r="B88" s="570" t="s">
        <v>9</v>
      </c>
      <c r="C88" s="552" t="s">
        <v>10</v>
      </c>
      <c r="D88" s="553"/>
      <c r="E88" s="553"/>
      <c r="F88" s="554"/>
    </row>
    <row r="89" spans="1:6" ht="45" customHeight="1" x14ac:dyDescent="0.15">
      <c r="A89" s="571"/>
      <c r="B89" s="571"/>
      <c r="C89" s="243" t="s">
        <v>132</v>
      </c>
      <c r="D89" s="7" t="s">
        <v>133</v>
      </c>
      <c r="E89" s="3" t="s">
        <v>134</v>
      </c>
      <c r="F89" s="244" t="s">
        <v>12</v>
      </c>
    </row>
    <row r="90" spans="1:6" ht="15" customHeight="1" x14ac:dyDescent="0.2">
      <c r="A90" s="179" t="s">
        <v>135</v>
      </c>
      <c r="B90" s="175" t="s">
        <v>136</v>
      </c>
      <c r="C90" s="166">
        <f>+[4]BS17!F68</f>
        <v>0</v>
      </c>
      <c r="D90" s="70">
        <f>+[4]BS17!G68</f>
        <v>0</v>
      </c>
      <c r="E90" s="71">
        <f>+[4]BS17!H68</f>
        <v>0</v>
      </c>
      <c r="F90" s="72">
        <f>[4]BS17A!V811</f>
        <v>0</v>
      </c>
    </row>
    <row r="91" spans="1:6" ht="15" customHeight="1" x14ac:dyDescent="0.2">
      <c r="A91" s="180" t="s">
        <v>137</v>
      </c>
      <c r="B91" s="176" t="s">
        <v>138</v>
      </c>
      <c r="C91" s="167">
        <f>+[4]BS17!F69</f>
        <v>261</v>
      </c>
      <c r="D91" s="73">
        <f>+[4]BS17!G69</f>
        <v>0</v>
      </c>
      <c r="E91" s="74">
        <f>+[4]BS17!H69</f>
        <v>0</v>
      </c>
      <c r="F91" s="75">
        <f>[4]BS17A!V882</f>
        <v>80203980</v>
      </c>
    </row>
    <row r="92" spans="1:6" ht="15" customHeight="1" x14ac:dyDescent="0.2">
      <c r="A92" s="180" t="s">
        <v>139</v>
      </c>
      <c r="B92" s="176" t="s">
        <v>140</v>
      </c>
      <c r="C92" s="167">
        <f>+[4]BS17!F70</f>
        <v>18</v>
      </c>
      <c r="D92" s="73">
        <f>+[4]BS17!G70</f>
        <v>2</v>
      </c>
      <c r="E92" s="74">
        <f>+[4]BS17!H70</f>
        <v>0</v>
      </c>
      <c r="F92" s="75">
        <f>[4]BS17A!V961</f>
        <v>1887805</v>
      </c>
    </row>
    <row r="93" spans="1:6" ht="15" customHeight="1" x14ac:dyDescent="0.2">
      <c r="A93" s="180" t="s">
        <v>141</v>
      </c>
      <c r="B93" s="176" t="s">
        <v>142</v>
      </c>
      <c r="C93" s="167">
        <f>+[4]BS17!F71</f>
        <v>8</v>
      </c>
      <c r="D93" s="73">
        <f>+[4]BS17!G71</f>
        <v>0</v>
      </c>
      <c r="E93" s="74">
        <f>+[4]BS17!H71</f>
        <v>0</v>
      </c>
      <c r="F93" s="75">
        <f>[4]BS17A!V1037</f>
        <v>930210</v>
      </c>
    </row>
    <row r="94" spans="1:6" ht="15" customHeight="1" x14ac:dyDescent="0.2">
      <c r="A94" s="180" t="s">
        <v>143</v>
      </c>
      <c r="B94" s="176" t="s">
        <v>144</v>
      </c>
      <c r="C94" s="167">
        <f>+[4]BS17!F72</f>
        <v>70</v>
      </c>
      <c r="D94" s="73">
        <f>+[4]BS17!G72</f>
        <v>1</v>
      </c>
      <c r="E94" s="74">
        <f>+[4]BS17!H72</f>
        <v>0</v>
      </c>
      <c r="F94" s="75">
        <f>[4]BS17A!V1098</f>
        <v>3587760</v>
      </c>
    </row>
    <row r="95" spans="1:6" ht="15" customHeight="1" x14ac:dyDescent="0.2">
      <c r="A95" s="180" t="s">
        <v>145</v>
      </c>
      <c r="B95" s="176" t="s">
        <v>146</v>
      </c>
      <c r="C95" s="167">
        <f>+[4]BS17!F73</f>
        <v>142</v>
      </c>
      <c r="D95" s="73">
        <f>+[4]BS17!G73</f>
        <v>1</v>
      </c>
      <c r="E95" s="74">
        <f>+[4]BS17!H73</f>
        <v>0</v>
      </c>
      <c r="F95" s="75">
        <f>[4]BS17A!V1166</f>
        <v>3054690</v>
      </c>
    </row>
    <row r="96" spans="1:6" ht="15" customHeight="1" x14ac:dyDescent="0.2">
      <c r="A96" s="180" t="s">
        <v>147</v>
      </c>
      <c r="B96" s="176" t="s">
        <v>148</v>
      </c>
      <c r="C96" s="167">
        <f>+[4]BS17!F74</f>
        <v>4</v>
      </c>
      <c r="D96" s="73">
        <f>+[4]BS17!G74</f>
        <v>0</v>
      </c>
      <c r="E96" s="74">
        <f>+[4]BS17!H74</f>
        <v>0</v>
      </c>
      <c r="F96" s="75">
        <f>[4]BS17A!V1221</f>
        <v>670480</v>
      </c>
    </row>
    <row r="97" spans="1:6" ht="15" customHeight="1" x14ac:dyDescent="0.2">
      <c r="A97" s="180" t="s">
        <v>149</v>
      </c>
      <c r="B97" s="176" t="s">
        <v>150</v>
      </c>
      <c r="C97" s="167">
        <f>+[4]BS17!F75</f>
        <v>2</v>
      </c>
      <c r="D97" s="73">
        <f>+[4]BS17!G75</f>
        <v>1</v>
      </c>
      <c r="E97" s="74">
        <f>+[4]BS17!H75</f>
        <v>0</v>
      </c>
      <c r="F97" s="75">
        <f>[4]BS17A!V1287</f>
        <v>570620</v>
      </c>
    </row>
    <row r="98" spans="1:6" ht="15" customHeight="1" x14ac:dyDescent="0.2">
      <c r="A98" s="180" t="s">
        <v>151</v>
      </c>
      <c r="B98" s="176" t="s">
        <v>152</v>
      </c>
      <c r="C98" s="167">
        <f>+[4]BS17!F76</f>
        <v>167</v>
      </c>
      <c r="D98" s="73">
        <f>+[4]BS17!G76</f>
        <v>22</v>
      </c>
      <c r="E98" s="74">
        <f>+[4]BS17!H76</f>
        <v>0</v>
      </c>
      <c r="F98" s="75">
        <f>[4]BS17A!V1357</f>
        <v>40163160</v>
      </c>
    </row>
    <row r="99" spans="1:6" ht="15" customHeight="1" x14ac:dyDescent="0.2">
      <c r="A99" s="180" t="s">
        <v>153</v>
      </c>
      <c r="B99" s="176" t="s">
        <v>154</v>
      </c>
      <c r="C99" s="167">
        <f>+[4]BS17!F77</f>
        <v>13</v>
      </c>
      <c r="D99" s="73">
        <f>+[4]BS17!G77</f>
        <v>0</v>
      </c>
      <c r="E99" s="74">
        <f>+[4]BS17!H77</f>
        <v>0</v>
      </c>
      <c r="F99" s="75">
        <f>[4]BS17A!V1441</f>
        <v>1483540</v>
      </c>
    </row>
    <row r="100" spans="1:6" ht="15" customHeight="1" x14ac:dyDescent="0.2">
      <c r="A100" s="180" t="s">
        <v>155</v>
      </c>
      <c r="B100" s="176" t="s">
        <v>156</v>
      </c>
      <c r="C100" s="167">
        <f>+[4]BS17!F78</f>
        <v>35</v>
      </c>
      <c r="D100" s="73">
        <f>+[4]BS17!G78</f>
        <v>2</v>
      </c>
      <c r="E100" s="74">
        <f>+[4]BS17!H78</f>
        <v>0</v>
      </c>
      <c r="F100" s="75">
        <f>[4]BS17A!V1489</f>
        <v>5790840</v>
      </c>
    </row>
    <row r="101" spans="1:6" ht="15" customHeight="1" x14ac:dyDescent="0.2">
      <c r="A101" s="180" t="s">
        <v>157</v>
      </c>
      <c r="B101" s="176" t="s">
        <v>158</v>
      </c>
      <c r="C101" s="167">
        <f>+[4]BS17!F79</f>
        <v>12</v>
      </c>
      <c r="D101" s="73">
        <f>+[4]BS17!G79</f>
        <v>0</v>
      </c>
      <c r="E101" s="74">
        <f>+[4]BS17!H79</f>
        <v>0</v>
      </c>
      <c r="F101" s="75">
        <f>[4]BS17A!V1592</f>
        <v>2704050</v>
      </c>
    </row>
    <row r="102" spans="1:6" ht="15" customHeight="1" x14ac:dyDescent="0.2">
      <c r="A102" s="207" t="s">
        <v>159</v>
      </c>
      <c r="B102" s="195" t="s">
        <v>160</v>
      </c>
      <c r="C102" s="168">
        <f>+[4]BS17!F80</f>
        <v>50</v>
      </c>
      <c r="D102" s="76">
        <f>+[4]BS17!G80</f>
        <v>5</v>
      </c>
      <c r="E102" s="77">
        <f>+[4]BS17!H80</f>
        <v>0</v>
      </c>
      <c r="F102" s="78">
        <f>[4]BS17A!V1597</f>
        <v>10007940</v>
      </c>
    </row>
    <row r="103" spans="1:6" ht="15" customHeight="1" x14ac:dyDescent="0.2">
      <c r="A103" s="179" t="s">
        <v>161</v>
      </c>
      <c r="B103" s="175" t="s">
        <v>162</v>
      </c>
      <c r="C103" s="166">
        <f>+[4]BS17!F81</f>
        <v>71</v>
      </c>
      <c r="D103" s="70">
        <f>+[4]BS17!G81</f>
        <v>0</v>
      </c>
      <c r="E103" s="71">
        <f>+[4]BS17!H81</f>
        <v>0</v>
      </c>
      <c r="F103" s="72">
        <f>+[4]BS17A!V1631</f>
        <v>8032810</v>
      </c>
    </row>
    <row r="104" spans="1:6" ht="15" customHeight="1" x14ac:dyDescent="0.2">
      <c r="A104" s="180"/>
      <c r="B104" s="176" t="s">
        <v>163</v>
      </c>
      <c r="C104" s="167">
        <f>+[4]BS17A!D1635</f>
        <v>0</v>
      </c>
      <c r="D104" s="73">
        <f>+[4]BS17A!F1635</f>
        <v>0</v>
      </c>
      <c r="E104" s="74">
        <f>+[4]BS17A!G1635</f>
        <v>0</v>
      </c>
      <c r="F104" s="75">
        <f>+[4]BS17A!V1635</f>
        <v>0</v>
      </c>
    </row>
    <row r="105" spans="1:6" ht="15" customHeight="1" x14ac:dyDescent="0.2">
      <c r="A105" s="180"/>
      <c r="B105" s="176" t="s">
        <v>164</v>
      </c>
      <c r="C105" s="167">
        <f>+[4]BS17A!D1634</f>
        <v>43</v>
      </c>
      <c r="D105" s="73">
        <f>+[4]BS17A!F1634</f>
        <v>0</v>
      </c>
      <c r="E105" s="74">
        <f>+[4]BS17A!G1634</f>
        <v>0</v>
      </c>
      <c r="F105" s="75">
        <f>+[4]BS17A!V1634</f>
        <v>5383170</v>
      </c>
    </row>
    <row r="106" spans="1:6" ht="15" customHeight="1" x14ac:dyDescent="0.2">
      <c r="A106" s="181"/>
      <c r="B106" s="189" t="s">
        <v>165</v>
      </c>
      <c r="C106" s="169">
        <f>+[4]BS17A!D1632+[4]BS17A!D1633</f>
        <v>28</v>
      </c>
      <c r="D106" s="80">
        <f>+[4]BS17A!F1632+[4]BS17A!F1633</f>
        <v>0</v>
      </c>
      <c r="E106" s="81">
        <f>+[4]BS17A!G1632+[4]BS17A!G1633</f>
        <v>0</v>
      </c>
      <c r="F106" s="82">
        <f>+[4]BS17A!V1632+[4]BS17A!V1633</f>
        <v>2649640</v>
      </c>
    </row>
    <row r="107" spans="1:6" ht="15" customHeight="1" x14ac:dyDescent="0.2">
      <c r="A107" s="212" t="s">
        <v>166</v>
      </c>
      <c r="B107" s="211" t="s">
        <v>167</v>
      </c>
      <c r="C107" s="170">
        <f>+[4]BS17!F82</f>
        <v>45</v>
      </c>
      <c r="D107" s="83">
        <f>+[4]BS17!G82</f>
        <v>1</v>
      </c>
      <c r="E107" s="84">
        <f>+[4]BS17!H82</f>
        <v>0</v>
      </c>
      <c r="F107" s="85">
        <f>+[4]BS17A!V1639</f>
        <v>8494335</v>
      </c>
    </row>
    <row r="108" spans="1:6" ht="15" customHeight="1" x14ac:dyDescent="0.2">
      <c r="A108" s="208">
        <v>2106</v>
      </c>
      <c r="B108" s="189" t="s">
        <v>168</v>
      </c>
      <c r="C108" s="169">
        <f>[4]BS17A!D1845</f>
        <v>3</v>
      </c>
      <c r="D108" s="80">
        <f>[4]BS17A!F1845</f>
        <v>0</v>
      </c>
      <c r="E108" s="81">
        <f>[4]BS17A!G1845</f>
        <v>0</v>
      </c>
      <c r="F108" s="82">
        <f>+[4]BS17A!V1845</f>
        <v>157080</v>
      </c>
    </row>
    <row r="109" spans="1:6" ht="15" customHeight="1" x14ac:dyDescent="0.2">
      <c r="A109" s="187"/>
      <c r="B109" s="186" t="s">
        <v>169</v>
      </c>
      <c r="C109" s="171">
        <f>SUM(C90:C108)-C103</f>
        <v>901</v>
      </c>
      <c r="D109" s="87">
        <f>SUM(D90:D108)-D103</f>
        <v>35</v>
      </c>
      <c r="E109" s="88">
        <f>+SUM(E90:E103)+E107+E108</f>
        <v>0</v>
      </c>
      <c r="F109" s="89">
        <f>+SUM(F90:F103)+F107+F108</f>
        <v>167739300</v>
      </c>
    </row>
    <row r="110" spans="1:6" ht="12.75" x14ac:dyDescent="0.2">
      <c r="A110" s="21"/>
      <c r="B110" s="21"/>
      <c r="C110" s="21"/>
      <c r="D110" s="21"/>
      <c r="E110" s="21"/>
      <c r="F110" s="18"/>
    </row>
    <row r="111" spans="1:6" ht="12.75" x14ac:dyDescent="0.2">
      <c r="A111" s="21"/>
      <c r="B111" s="21"/>
      <c r="C111" s="21"/>
      <c r="D111" s="21"/>
      <c r="E111" s="21"/>
      <c r="F111" s="18"/>
    </row>
    <row r="112" spans="1:6" ht="12.75" x14ac:dyDescent="0.2">
      <c r="A112" s="549" t="s">
        <v>170</v>
      </c>
      <c r="B112" s="550"/>
      <c r="C112" s="550"/>
      <c r="D112" s="550"/>
      <c r="E112" s="551"/>
      <c r="F112" s="18"/>
    </row>
    <row r="113" spans="1:6" ht="49.5" customHeight="1" x14ac:dyDescent="0.2">
      <c r="A113" s="1" t="s">
        <v>8</v>
      </c>
      <c r="B113" s="1" t="s">
        <v>9</v>
      </c>
      <c r="C113" s="242" t="s">
        <v>10</v>
      </c>
      <c r="D113" s="3" t="s">
        <v>11</v>
      </c>
      <c r="E113" s="244" t="s">
        <v>12</v>
      </c>
      <c r="F113" s="18"/>
    </row>
    <row r="114" spans="1:6" ht="15" customHeight="1" x14ac:dyDescent="0.2">
      <c r="A114" s="179" t="s">
        <v>171</v>
      </c>
      <c r="B114" s="175" t="s">
        <v>172</v>
      </c>
      <c r="C114" s="135">
        <f>+[4]BS17A!D1636</f>
        <v>76</v>
      </c>
      <c r="D114" s="90">
        <f>+[4]BS17A!U1636</f>
        <v>125180</v>
      </c>
      <c r="E114" s="91">
        <f>+[4]BS17A!V1636</f>
        <v>9513680</v>
      </c>
      <c r="F114" s="21"/>
    </row>
    <row r="115" spans="1:6" ht="15" customHeight="1" x14ac:dyDescent="0.2">
      <c r="A115" s="181" t="s">
        <v>173</v>
      </c>
      <c r="B115" s="205" t="s">
        <v>174</v>
      </c>
      <c r="C115" s="156">
        <f>+[4]BS17A!D1637</f>
        <v>2</v>
      </c>
      <c r="D115" s="92">
        <f>+[4]BS17A!U1637</f>
        <v>131720</v>
      </c>
      <c r="E115" s="67">
        <f>+[4]BS17A!V1637</f>
        <v>263440</v>
      </c>
      <c r="F115" s="21"/>
    </row>
    <row r="116" spans="1:6" ht="15" customHeight="1" x14ac:dyDescent="0.2">
      <c r="A116" s="68"/>
      <c r="B116" s="141" t="s">
        <v>175</v>
      </c>
      <c r="C116" s="68">
        <f>SUM(C114:C115)</f>
        <v>78</v>
      </c>
      <c r="D116" s="44"/>
      <c r="E116" s="69">
        <f>SUM(E114:E115)</f>
        <v>9777120</v>
      </c>
      <c r="F116" s="21"/>
    </row>
    <row r="117" spans="1:6" ht="12.75" x14ac:dyDescent="0.2">
      <c r="A117" s="21"/>
      <c r="B117" s="21"/>
      <c r="C117" s="21"/>
      <c r="D117" s="21"/>
      <c r="E117" s="21"/>
      <c r="F117" s="21"/>
    </row>
    <row r="118" spans="1:6" ht="12.75" x14ac:dyDescent="0.2">
      <c r="A118" s="21"/>
      <c r="B118" s="21"/>
      <c r="C118" s="21"/>
      <c r="D118" s="21"/>
      <c r="E118" s="21"/>
      <c r="F118" s="18"/>
    </row>
    <row r="119" spans="1:6" ht="12.75" x14ac:dyDescent="0.2">
      <c r="A119" s="566" t="s">
        <v>176</v>
      </c>
      <c r="B119" s="566"/>
      <c r="C119" s="566"/>
      <c r="D119" s="21"/>
      <c r="E119" s="21"/>
      <c r="F119" s="18"/>
    </row>
    <row r="120" spans="1:6" ht="38.25" customHeight="1" x14ac:dyDescent="0.2">
      <c r="A120" s="1" t="s">
        <v>8</v>
      </c>
      <c r="B120" s="1" t="s">
        <v>10</v>
      </c>
      <c r="C120" s="1" t="s">
        <v>12</v>
      </c>
      <c r="D120" s="21"/>
      <c r="E120" s="21"/>
      <c r="F120" s="21"/>
    </row>
    <row r="121" spans="1:6" ht="15" customHeight="1" x14ac:dyDescent="0.2">
      <c r="A121" s="93" t="s">
        <v>177</v>
      </c>
      <c r="B121" s="94" t="s">
        <v>178</v>
      </c>
      <c r="C121" s="95">
        <f>+[4]BS17A!V1871+[4]BS17A!V1889+[4]BS17A!V1914</f>
        <v>14204270</v>
      </c>
      <c r="D121" s="21"/>
      <c r="E121" s="21"/>
      <c r="F121" s="21"/>
    </row>
    <row r="122" spans="1:6" ht="12.75" x14ac:dyDescent="0.2">
      <c r="A122" s="21"/>
      <c r="B122" s="21"/>
      <c r="C122" s="21"/>
      <c r="D122" s="21"/>
      <c r="E122" s="18"/>
      <c r="F122" s="21"/>
    </row>
    <row r="123" spans="1:6" ht="12.75" x14ac:dyDescent="0.2">
      <c r="A123" s="21"/>
      <c r="B123" s="21"/>
      <c r="C123" s="21"/>
      <c r="D123" s="21"/>
      <c r="E123" s="18"/>
      <c r="F123" s="21"/>
    </row>
    <row r="124" spans="1:6" ht="12.75" x14ac:dyDescent="0.2">
      <c r="A124" s="549" t="s">
        <v>179</v>
      </c>
      <c r="B124" s="550"/>
      <c r="C124" s="550"/>
      <c r="D124" s="550"/>
      <c r="E124" s="551"/>
      <c r="F124" s="18"/>
    </row>
    <row r="125" spans="1:6" ht="45.75" customHeight="1" x14ac:dyDescent="0.2">
      <c r="A125" s="1" t="s">
        <v>8</v>
      </c>
      <c r="B125" s="1" t="s">
        <v>9</v>
      </c>
      <c r="C125" s="242" t="s">
        <v>10</v>
      </c>
      <c r="D125" s="3" t="s">
        <v>11</v>
      </c>
      <c r="E125" s="244" t="s">
        <v>12</v>
      </c>
      <c r="F125" s="18"/>
    </row>
    <row r="126" spans="1:6" ht="15" customHeight="1" x14ac:dyDescent="0.2">
      <c r="A126" s="179" t="s">
        <v>180</v>
      </c>
      <c r="B126" s="196" t="s">
        <v>181</v>
      </c>
      <c r="C126" s="135">
        <f>+[4]BS17A!$D59</f>
        <v>5144</v>
      </c>
      <c r="D126" s="31">
        <f>+[4]BS17A!$U59</f>
        <v>32060</v>
      </c>
      <c r="E126" s="96">
        <f>+[4]BS17A!$V59</f>
        <v>164916640</v>
      </c>
      <c r="F126" s="21"/>
    </row>
    <row r="127" spans="1:6" ht="15" customHeight="1" x14ac:dyDescent="0.2">
      <c r="A127" s="180" t="s">
        <v>182</v>
      </c>
      <c r="B127" s="177" t="s">
        <v>183</v>
      </c>
      <c r="C127" s="132">
        <f>+[4]BS17A!$D60</f>
        <v>0</v>
      </c>
      <c r="D127" s="26">
        <f>+[4]BS17A!$U60</f>
        <v>29510</v>
      </c>
      <c r="E127" s="97">
        <f>+[4]BS17A!$V60</f>
        <v>0</v>
      </c>
      <c r="F127" s="21"/>
    </row>
    <row r="128" spans="1:6" ht="15" customHeight="1" x14ac:dyDescent="0.2">
      <c r="A128" s="180" t="s">
        <v>184</v>
      </c>
      <c r="B128" s="177" t="s">
        <v>185</v>
      </c>
      <c r="C128" s="132">
        <f>+[4]BS17A!$D61</f>
        <v>0</v>
      </c>
      <c r="D128" s="26">
        <f>+[4]BS17A!$U61</f>
        <v>24600</v>
      </c>
      <c r="E128" s="97">
        <f>+[4]BS17A!$V61</f>
        <v>0</v>
      </c>
      <c r="F128" s="21"/>
    </row>
    <row r="129" spans="1:6" ht="15" customHeight="1" x14ac:dyDescent="0.2">
      <c r="A129" s="180" t="s">
        <v>186</v>
      </c>
      <c r="B129" s="177" t="s">
        <v>187</v>
      </c>
      <c r="C129" s="132">
        <f>SUM([4]BS17A!D62:D64)</f>
        <v>133</v>
      </c>
      <c r="D129" s="26">
        <f>+[4]BS17A!$U62</f>
        <v>133290</v>
      </c>
      <c r="E129" s="97">
        <f>SUM([4]BS17A!V62:V64)</f>
        <v>17727570</v>
      </c>
      <c r="F129" s="21"/>
    </row>
    <row r="130" spans="1:6" ht="15" customHeight="1" x14ac:dyDescent="0.2">
      <c r="A130" s="180" t="s">
        <v>188</v>
      </c>
      <c r="B130" s="177" t="s">
        <v>189</v>
      </c>
      <c r="C130" s="132">
        <f>SUM([4]BS17A!D65:D67)</f>
        <v>264</v>
      </c>
      <c r="D130" s="26">
        <f>+[4]BS17A!$U65</f>
        <v>64370</v>
      </c>
      <c r="E130" s="97">
        <f>SUM([4]BS17A!V65:V67)</f>
        <v>16993680</v>
      </c>
      <c r="F130" s="21"/>
    </row>
    <row r="131" spans="1:6" ht="15" customHeight="1" x14ac:dyDescent="0.2">
      <c r="A131" s="180" t="s">
        <v>190</v>
      </c>
      <c r="B131" s="177" t="s">
        <v>191</v>
      </c>
      <c r="C131" s="132">
        <f>+[4]BS17A!D68</f>
        <v>142</v>
      </c>
      <c r="D131" s="26">
        <f>+[4]BS17A!$U68</f>
        <v>57760</v>
      </c>
      <c r="E131" s="97">
        <f>+[4]BS17A!$V68</f>
        <v>8201920</v>
      </c>
      <c r="F131" s="21"/>
    </row>
    <row r="132" spans="1:6" ht="15" customHeight="1" x14ac:dyDescent="0.2">
      <c r="A132" s="180" t="s">
        <v>192</v>
      </c>
      <c r="B132" s="177" t="s">
        <v>193</v>
      </c>
      <c r="C132" s="132">
        <f>+[4]BS17A!$D69</f>
        <v>0</v>
      </c>
      <c r="D132" s="26">
        <f>+[4]BS17A!$U69</f>
        <v>16390</v>
      </c>
      <c r="E132" s="97">
        <f>+[4]BS17A!$V69</f>
        <v>0</v>
      </c>
      <c r="F132" s="21"/>
    </row>
    <row r="133" spans="1:6" ht="15" customHeight="1" x14ac:dyDescent="0.2">
      <c r="A133" s="180" t="s">
        <v>194</v>
      </c>
      <c r="B133" s="177" t="s">
        <v>195</v>
      </c>
      <c r="C133" s="132">
        <f>+[4]BS17A!$D70</f>
        <v>0</v>
      </c>
      <c r="D133" s="26">
        <f>+[4]BS17A!$U70</f>
        <v>25680</v>
      </c>
      <c r="E133" s="97">
        <f>+[4]BS17A!$V70</f>
        <v>0</v>
      </c>
      <c r="F133" s="21"/>
    </row>
    <row r="134" spans="1:6" ht="15" customHeight="1" x14ac:dyDescent="0.2">
      <c r="A134" s="180" t="s">
        <v>196</v>
      </c>
      <c r="B134" s="177" t="s">
        <v>197</v>
      </c>
      <c r="C134" s="132">
        <f>+[4]BS17A!$D73</f>
        <v>0</v>
      </c>
      <c r="D134" s="26">
        <f>+[4]BS17A!$U73</f>
        <v>25890</v>
      </c>
      <c r="E134" s="97">
        <f>+[4]BS17A!$V73</f>
        <v>0</v>
      </c>
      <c r="F134" s="21"/>
    </row>
    <row r="135" spans="1:6" ht="15" customHeight="1" x14ac:dyDescent="0.2">
      <c r="A135" s="180" t="s">
        <v>198</v>
      </c>
      <c r="B135" s="177" t="s">
        <v>199</v>
      </c>
      <c r="C135" s="132">
        <f>+[4]BS17A!$D71</f>
        <v>0</v>
      </c>
      <c r="D135" s="26">
        <f>+[4]BS17A!$U71</f>
        <v>26730</v>
      </c>
      <c r="E135" s="97">
        <f>+[4]BS17A!$V71</f>
        <v>0</v>
      </c>
      <c r="F135" s="21"/>
    </row>
    <row r="136" spans="1:6" ht="15" customHeight="1" x14ac:dyDescent="0.2">
      <c r="A136" s="180" t="s">
        <v>200</v>
      </c>
      <c r="B136" s="177" t="s">
        <v>201</v>
      </c>
      <c r="C136" s="132">
        <f>+[4]BS17A!$D76</f>
        <v>0</v>
      </c>
      <c r="D136" s="26">
        <f>+[4]BS17A!$U76</f>
        <v>32060</v>
      </c>
      <c r="E136" s="97">
        <f>+[4]BS17A!$V76</f>
        <v>0</v>
      </c>
      <c r="F136" s="21"/>
    </row>
    <row r="137" spans="1:6" ht="15" customHeight="1" x14ac:dyDescent="0.2">
      <c r="A137" s="180" t="s">
        <v>202</v>
      </c>
      <c r="B137" s="176" t="s">
        <v>203</v>
      </c>
      <c r="C137" s="132">
        <f>+[4]BS17A!$D79</f>
        <v>48</v>
      </c>
      <c r="D137" s="26">
        <f>+[4]BS17A!$U79</f>
        <v>6220</v>
      </c>
      <c r="E137" s="97">
        <f>+[4]BS17A!$V79</f>
        <v>298560</v>
      </c>
      <c r="F137" s="21"/>
    </row>
    <row r="138" spans="1:6" ht="15" customHeight="1" x14ac:dyDescent="0.2">
      <c r="A138" s="180" t="s">
        <v>204</v>
      </c>
      <c r="B138" s="176" t="s">
        <v>205</v>
      </c>
      <c r="C138" s="132">
        <f>+[4]BS17A!$D80</f>
        <v>0</v>
      </c>
      <c r="D138" s="26">
        <f>+[4]BS17A!$U80</f>
        <v>44930</v>
      </c>
      <c r="E138" s="97">
        <f>+[4]BS17A!$V80</f>
        <v>0</v>
      </c>
      <c r="F138" s="21"/>
    </row>
    <row r="139" spans="1:6" ht="15" customHeight="1" x14ac:dyDescent="0.2">
      <c r="A139" s="181"/>
      <c r="B139" s="209" t="s">
        <v>206</v>
      </c>
      <c r="C139" s="165">
        <f>SUM(C126:C138)</f>
        <v>5731</v>
      </c>
      <c r="D139" s="98"/>
      <c r="E139" s="99">
        <f>SUM(E126:E138)</f>
        <v>208138370</v>
      </c>
      <c r="F139" s="21"/>
    </row>
    <row r="140" spans="1:6" ht="15" customHeight="1" x14ac:dyDescent="0.2">
      <c r="A140" s="179"/>
      <c r="B140" s="210" t="s">
        <v>207</v>
      </c>
      <c r="C140" s="135"/>
      <c r="D140" s="31"/>
      <c r="E140" s="96"/>
      <c r="F140" s="21"/>
    </row>
    <row r="141" spans="1:6" ht="15" customHeight="1" x14ac:dyDescent="0.2">
      <c r="A141" s="180" t="s">
        <v>208</v>
      </c>
      <c r="B141" s="177" t="s">
        <v>209</v>
      </c>
      <c r="C141" s="132">
        <f>+[4]BS17A!$D72</f>
        <v>0</v>
      </c>
      <c r="D141" s="26">
        <f>+[4]BS17A!$U72</f>
        <v>10780</v>
      </c>
      <c r="E141" s="97">
        <f>+[4]BS17A!$V72</f>
        <v>0</v>
      </c>
      <c r="F141" s="21"/>
    </row>
    <row r="142" spans="1:6" ht="15" customHeight="1" x14ac:dyDescent="0.2">
      <c r="A142" s="180" t="s">
        <v>210</v>
      </c>
      <c r="B142" s="177" t="s">
        <v>211</v>
      </c>
      <c r="C142" s="132">
        <f>+[4]BS17A!$D74</f>
        <v>0</v>
      </c>
      <c r="D142" s="26">
        <f>+[4]BS17A!$U74</f>
        <v>10780</v>
      </c>
      <c r="E142" s="97">
        <f>+[4]BS17A!$V74</f>
        <v>0</v>
      </c>
      <c r="F142" s="21"/>
    </row>
    <row r="143" spans="1:6" ht="15" customHeight="1" x14ac:dyDescent="0.2">
      <c r="A143" s="180" t="s">
        <v>212</v>
      </c>
      <c r="B143" s="177" t="s">
        <v>213</v>
      </c>
      <c r="C143" s="132">
        <f>+[4]BS17A!$D75</f>
        <v>0</v>
      </c>
      <c r="D143" s="26">
        <f>+[4]BS17A!$U75</f>
        <v>4750</v>
      </c>
      <c r="E143" s="97">
        <f>+[4]BS17A!$V75</f>
        <v>0</v>
      </c>
      <c r="F143" s="21"/>
    </row>
    <row r="144" spans="1:6" ht="15" customHeight="1" x14ac:dyDescent="0.2">
      <c r="A144" s="180" t="s">
        <v>214</v>
      </c>
      <c r="B144" s="177" t="s">
        <v>215</v>
      </c>
      <c r="C144" s="132">
        <f>+[4]BS17A!$D77</f>
        <v>0</v>
      </c>
      <c r="D144" s="26">
        <f>+[4]BS17A!$U77</f>
        <v>86670</v>
      </c>
      <c r="E144" s="97">
        <f>+[4]BS17A!$V77</f>
        <v>0</v>
      </c>
      <c r="F144" s="21"/>
    </row>
    <row r="145" spans="1:6" ht="15" customHeight="1" x14ac:dyDescent="0.2">
      <c r="A145" s="180" t="s">
        <v>216</v>
      </c>
      <c r="B145" s="177" t="s">
        <v>217</v>
      </c>
      <c r="C145" s="132">
        <f>+[4]BS17A!$D78</f>
        <v>0</v>
      </c>
      <c r="D145" s="26">
        <f>+[4]BS17A!$U78</f>
        <v>10230</v>
      </c>
      <c r="E145" s="97">
        <f>+[4]BS17A!$V78</f>
        <v>0</v>
      </c>
      <c r="F145" s="21"/>
    </row>
    <row r="146" spans="1:6" ht="15" customHeight="1" x14ac:dyDescent="0.2">
      <c r="A146" s="180" t="s">
        <v>218</v>
      </c>
      <c r="B146" s="177" t="s">
        <v>219</v>
      </c>
      <c r="C146" s="132">
        <f>+[4]BS17A!$D81</f>
        <v>0</v>
      </c>
      <c r="D146" s="26">
        <f>+[4]BS17A!$U81</f>
        <v>7880</v>
      </c>
      <c r="E146" s="97">
        <f>+[4]BS17A!$V81</f>
        <v>0</v>
      </c>
      <c r="F146" s="21"/>
    </row>
    <row r="147" spans="1:6" ht="15" customHeight="1" x14ac:dyDescent="0.2">
      <c r="A147" s="181"/>
      <c r="B147" s="209" t="s">
        <v>220</v>
      </c>
      <c r="C147" s="165">
        <f>SUM(C141:C146)</f>
        <v>0</v>
      </c>
      <c r="D147" s="98"/>
      <c r="E147" s="99">
        <f>SUM(E141:E146)</f>
        <v>0</v>
      </c>
      <c r="F147" s="21"/>
    </row>
    <row r="148" spans="1:6" ht="15" customHeight="1" x14ac:dyDescent="0.2">
      <c r="A148" s="187"/>
      <c r="B148" s="186" t="s">
        <v>221</v>
      </c>
      <c r="C148" s="35">
        <f>+C139+C147</f>
        <v>5731</v>
      </c>
      <c r="D148" s="100"/>
      <c r="E148" s="101">
        <f>+E139+E147</f>
        <v>208138370</v>
      </c>
      <c r="F148" s="21"/>
    </row>
    <row r="149" spans="1:6" ht="12.75" x14ac:dyDescent="0.2">
      <c r="A149" s="21"/>
      <c r="B149" s="21"/>
      <c r="C149" s="21"/>
      <c r="D149" s="21"/>
      <c r="E149" s="21"/>
      <c r="F149" s="21"/>
    </row>
    <row r="150" spans="1:6" ht="12.75" x14ac:dyDescent="0.2">
      <c r="A150" s="21"/>
      <c r="B150" s="21"/>
      <c r="C150" s="21"/>
      <c r="D150" s="21"/>
      <c r="E150" s="21"/>
      <c r="F150" s="18"/>
    </row>
    <row r="151" spans="1:6" ht="12.75" x14ac:dyDescent="0.2">
      <c r="A151" s="567" t="s">
        <v>222</v>
      </c>
      <c r="B151" s="568"/>
      <c r="C151" s="568"/>
      <c r="D151" s="568"/>
      <c r="E151" s="569"/>
      <c r="F151" s="18"/>
    </row>
    <row r="152" spans="1:6" ht="47.25" customHeight="1" x14ac:dyDescent="0.2">
      <c r="A152" s="1" t="s">
        <v>8</v>
      </c>
      <c r="B152" s="1" t="s">
        <v>9</v>
      </c>
      <c r="C152" s="242" t="s">
        <v>10</v>
      </c>
      <c r="D152" s="3" t="s">
        <v>11</v>
      </c>
      <c r="E152" s="244" t="s">
        <v>12</v>
      </c>
      <c r="F152" s="21"/>
    </row>
    <row r="153" spans="1:6" ht="15" customHeight="1" x14ac:dyDescent="0.2">
      <c r="A153" s="179" t="s">
        <v>223</v>
      </c>
      <c r="B153" s="196" t="s">
        <v>224</v>
      </c>
      <c r="C153" s="135">
        <f>+[4]BS17A!D43</f>
        <v>285</v>
      </c>
      <c r="D153" s="31">
        <f>[4]BS17A!U43</f>
        <v>740</v>
      </c>
      <c r="E153" s="96">
        <f>+[4]BS17A!V43</f>
        <v>210900</v>
      </c>
      <c r="F153" s="21"/>
    </row>
    <row r="154" spans="1:6" ht="15" customHeight="1" x14ac:dyDescent="0.2">
      <c r="A154" s="181" t="s">
        <v>225</v>
      </c>
      <c r="B154" s="178" t="s">
        <v>226</v>
      </c>
      <c r="C154" s="142">
        <f>+[4]BS17A!D44+[4]BS17A!D45</f>
        <v>0</v>
      </c>
      <c r="D154" s="33">
        <f>[4]BS17A!U44</f>
        <v>100</v>
      </c>
      <c r="E154" s="102">
        <f>+[4]BS17A!V44+[4]BS17A!V45</f>
        <v>0</v>
      </c>
      <c r="F154" s="21"/>
    </row>
    <row r="155" spans="1:6" ht="15" customHeight="1" x14ac:dyDescent="0.2">
      <c r="A155" s="187"/>
      <c r="B155" s="186" t="s">
        <v>227</v>
      </c>
      <c r="C155" s="35">
        <f>SUM(C153:C154)</f>
        <v>285</v>
      </c>
      <c r="D155" s="100"/>
      <c r="E155" s="101">
        <f>SUM(E153:E154)</f>
        <v>210900</v>
      </c>
      <c r="F155" s="21"/>
    </row>
    <row r="156" spans="1:6" ht="12.75" x14ac:dyDescent="0.2">
      <c r="A156" s="21"/>
      <c r="B156" s="21"/>
      <c r="C156" s="21"/>
      <c r="D156" s="21"/>
      <c r="E156" s="21"/>
      <c r="F156" s="21"/>
    </row>
    <row r="157" spans="1:6" ht="12.75" x14ac:dyDescent="0.2">
      <c r="A157" s="21"/>
      <c r="B157" s="21"/>
      <c r="C157" s="21"/>
      <c r="D157" s="21"/>
      <c r="E157" s="21"/>
      <c r="F157" s="21"/>
    </row>
    <row r="158" spans="1:6" ht="18" customHeight="1" x14ac:dyDescent="0.2">
      <c r="A158" s="567" t="s">
        <v>228</v>
      </c>
      <c r="B158" s="568"/>
      <c r="C158" s="568"/>
      <c r="D158" s="568"/>
      <c r="E158" s="569"/>
      <c r="F158" s="18"/>
    </row>
    <row r="159" spans="1:6" ht="47.25" customHeight="1" x14ac:dyDescent="0.2">
      <c r="A159" s="1" t="s">
        <v>8</v>
      </c>
      <c r="B159" s="1" t="s">
        <v>9</v>
      </c>
      <c r="C159" s="242" t="s">
        <v>10</v>
      </c>
      <c r="D159" s="3" t="s">
        <v>11</v>
      </c>
      <c r="E159" s="244" t="s">
        <v>12</v>
      </c>
      <c r="F159" s="21"/>
    </row>
    <row r="160" spans="1:6" ht="15" customHeight="1" x14ac:dyDescent="0.2">
      <c r="A160" s="179" t="s">
        <v>229</v>
      </c>
      <c r="B160" s="175" t="s">
        <v>230</v>
      </c>
      <c r="C160" s="160">
        <f>+[4]BS17A!$D1481</f>
        <v>0</v>
      </c>
      <c r="D160" s="31">
        <f>+[4]BS17A!$U1481</f>
        <v>40370</v>
      </c>
      <c r="E160" s="96">
        <f>+[4]BS17A!$V1481</f>
        <v>0</v>
      </c>
      <c r="F160" s="21"/>
    </row>
    <row r="161" spans="1:6" ht="15" customHeight="1" x14ac:dyDescent="0.2">
      <c r="A161" s="180" t="s">
        <v>231</v>
      </c>
      <c r="B161" s="177" t="s">
        <v>232</v>
      </c>
      <c r="C161" s="164">
        <f>+[4]BS17A!$D1482</f>
        <v>0</v>
      </c>
      <c r="D161" s="26">
        <f>+[4]BS17A!$U1482</f>
        <v>25390</v>
      </c>
      <c r="E161" s="97">
        <f>+[4]BS17A!$V1482</f>
        <v>0</v>
      </c>
      <c r="F161" s="21"/>
    </row>
    <row r="162" spans="1:6" ht="15" customHeight="1" x14ac:dyDescent="0.2">
      <c r="A162" s="180" t="s">
        <v>233</v>
      </c>
      <c r="B162" s="176" t="s">
        <v>234</v>
      </c>
      <c r="C162" s="164">
        <f>+[4]BS17A!$D1483</f>
        <v>0</v>
      </c>
      <c r="D162" s="26">
        <f>+[4]BS17A!$U1483</f>
        <v>26150</v>
      </c>
      <c r="E162" s="97">
        <f>+[4]BS17A!$V1483</f>
        <v>0</v>
      </c>
      <c r="F162" s="21"/>
    </row>
    <row r="163" spans="1:6" ht="15" customHeight="1" x14ac:dyDescent="0.2">
      <c r="A163" s="180" t="s">
        <v>235</v>
      </c>
      <c r="B163" s="177" t="s">
        <v>236</v>
      </c>
      <c r="C163" s="164">
        <f>+[4]BS17A!$D1484</f>
        <v>0</v>
      </c>
      <c r="D163" s="26">
        <f>+[4]BS17A!$U1484</f>
        <v>784500</v>
      </c>
      <c r="E163" s="97">
        <f>+[4]BS17A!$V1484</f>
        <v>0</v>
      </c>
      <c r="F163" s="21"/>
    </row>
    <row r="164" spans="1:6" ht="15" customHeight="1" x14ac:dyDescent="0.2">
      <c r="A164" s="180" t="s">
        <v>237</v>
      </c>
      <c r="B164" s="177" t="s">
        <v>238</v>
      </c>
      <c r="C164" s="164">
        <f>+[4]BS17A!$D1485</f>
        <v>0</v>
      </c>
      <c r="D164" s="26">
        <f>+[4]BS17A!$U1485</f>
        <v>356330</v>
      </c>
      <c r="E164" s="97">
        <f>+[4]BS17A!$V1485</f>
        <v>0</v>
      </c>
      <c r="F164" s="21"/>
    </row>
    <row r="165" spans="1:6" ht="15" customHeight="1" x14ac:dyDescent="0.2">
      <c r="A165" s="180" t="s">
        <v>239</v>
      </c>
      <c r="B165" s="177" t="s">
        <v>240</v>
      </c>
      <c r="C165" s="164">
        <f>+[4]BS17A!$D1486</f>
        <v>0</v>
      </c>
      <c r="D165" s="26">
        <f>+[4]BS17A!$U1486</f>
        <v>544860</v>
      </c>
      <c r="E165" s="97">
        <f>+[4]BS17A!$V1486</f>
        <v>0</v>
      </c>
      <c r="F165" s="21"/>
    </row>
    <row r="166" spans="1:6" ht="15" customHeight="1" x14ac:dyDescent="0.2">
      <c r="A166" s="207" t="s">
        <v>241</v>
      </c>
      <c r="B166" s="205" t="s">
        <v>242</v>
      </c>
      <c r="C166" s="164">
        <f>+[4]BS17A!$D1487</f>
        <v>0</v>
      </c>
      <c r="D166" s="26">
        <f>+[4]BS17A!$U1487</f>
        <v>49130</v>
      </c>
      <c r="E166" s="97">
        <f>+[4]BS17A!$V1487</f>
        <v>0</v>
      </c>
      <c r="F166" s="21"/>
    </row>
    <row r="167" spans="1:6" ht="15" customHeight="1" x14ac:dyDescent="0.2">
      <c r="A167" s="208">
        <v>1901029</v>
      </c>
      <c r="B167" s="206" t="s">
        <v>243</v>
      </c>
      <c r="C167" s="161">
        <f>+[4]BS17A!$D1488</f>
        <v>0</v>
      </c>
      <c r="D167" s="33">
        <f>+[4]BS17A!$U1488</f>
        <v>638670</v>
      </c>
      <c r="E167" s="102">
        <f>+[4]BS17A!$V1488</f>
        <v>0</v>
      </c>
      <c r="F167" s="21"/>
    </row>
    <row r="168" spans="1:6" ht="15" customHeight="1" x14ac:dyDescent="0.2">
      <c r="A168" s="86"/>
      <c r="B168" s="103" t="s">
        <v>244</v>
      </c>
      <c r="C168" s="104">
        <f>SUM(C160:C167)</f>
        <v>0</v>
      </c>
      <c r="D168" s="105"/>
      <c r="E168" s="106">
        <f>SUM(E160:E167)</f>
        <v>0</v>
      </c>
      <c r="F168" s="21"/>
    </row>
    <row r="169" spans="1:6" ht="12.75" x14ac:dyDescent="0.2">
      <c r="A169" s="21"/>
      <c r="B169" s="21"/>
      <c r="C169" s="21"/>
      <c r="D169" s="21"/>
      <c r="E169" s="21"/>
      <c r="F169" s="21"/>
    </row>
    <row r="170" spans="1:6" ht="18" customHeight="1" x14ac:dyDescent="0.2">
      <c r="A170" s="21"/>
      <c r="B170" s="21"/>
      <c r="C170" s="21"/>
      <c r="D170" s="21"/>
      <c r="E170" s="21"/>
      <c r="F170" s="21"/>
    </row>
    <row r="171" spans="1:6" ht="18" customHeight="1" x14ac:dyDescent="0.2">
      <c r="A171" s="549" t="s">
        <v>245</v>
      </c>
      <c r="B171" s="550"/>
      <c r="C171" s="550"/>
      <c r="D171" s="550"/>
      <c r="E171" s="551"/>
      <c r="F171" s="18"/>
    </row>
    <row r="172" spans="1:6" ht="46.5" customHeight="1" x14ac:dyDescent="0.2">
      <c r="A172" s="1" t="s">
        <v>8</v>
      </c>
      <c r="B172" s="1" t="s">
        <v>9</v>
      </c>
      <c r="C172" s="242" t="s">
        <v>10</v>
      </c>
      <c r="D172" s="3" t="s">
        <v>11</v>
      </c>
      <c r="E172" s="244" t="s">
        <v>12</v>
      </c>
      <c r="F172" s="21"/>
    </row>
    <row r="173" spans="1:6" ht="12.75" customHeight="1" x14ac:dyDescent="0.2">
      <c r="A173" s="203">
        <v>1101004</v>
      </c>
      <c r="B173" s="9" t="s">
        <v>246</v>
      </c>
      <c r="C173" s="135">
        <f>+[4]BS17A!$D805</f>
        <v>14</v>
      </c>
      <c r="D173" s="31">
        <f>+[4]BS17A!$U805</f>
        <v>13840</v>
      </c>
      <c r="E173" s="96">
        <f>+[4]BS17A!$V805</f>
        <v>193760</v>
      </c>
      <c r="F173" s="21"/>
    </row>
    <row r="174" spans="1:6" ht="12.75" customHeight="1" x14ac:dyDescent="0.2">
      <c r="A174" s="202">
        <v>1101006</v>
      </c>
      <c r="B174" s="10" t="s">
        <v>247</v>
      </c>
      <c r="C174" s="132">
        <f>+[4]BS17A!$D806</f>
        <v>0</v>
      </c>
      <c r="D174" s="26">
        <f>+[4]BS17A!$U806</f>
        <v>11070</v>
      </c>
      <c r="E174" s="97">
        <f>+[4]BS17A!$V806</f>
        <v>0</v>
      </c>
      <c r="F174" s="21"/>
    </row>
    <row r="175" spans="1:6" ht="24.75" customHeight="1" x14ac:dyDescent="0.2">
      <c r="A175" s="202" t="s">
        <v>248</v>
      </c>
      <c r="B175" s="11" t="s">
        <v>249</v>
      </c>
      <c r="C175" s="132">
        <f>+[4]BS17A!$D1197</f>
        <v>687</v>
      </c>
      <c r="D175" s="26">
        <f>+[4]BS17A!$U1197</f>
        <v>4740</v>
      </c>
      <c r="E175" s="97">
        <f>+[4]BS17A!$V1197</f>
        <v>3256380</v>
      </c>
      <c r="F175" s="21"/>
    </row>
    <row r="176" spans="1:6" ht="24.75" customHeight="1" x14ac:dyDescent="0.2">
      <c r="A176" s="202" t="s">
        <v>250</v>
      </c>
      <c r="B176" s="11" t="s">
        <v>251</v>
      </c>
      <c r="C176" s="132">
        <f>+[4]BS17A!$D1198</f>
        <v>8</v>
      </c>
      <c r="D176" s="26">
        <f>+[4]BS17A!$U1198</f>
        <v>13370</v>
      </c>
      <c r="E176" s="97">
        <f>+[4]BS17A!$V1198</f>
        <v>106960</v>
      </c>
      <c r="F176" s="21"/>
    </row>
    <row r="177" spans="1:6" ht="24.75" customHeight="1" x14ac:dyDescent="0.2">
      <c r="A177" s="202" t="s">
        <v>252</v>
      </c>
      <c r="B177" s="11" t="s">
        <v>253</v>
      </c>
      <c r="C177" s="132">
        <f>+[4]BS17A!$D1199</f>
        <v>31</v>
      </c>
      <c r="D177" s="26">
        <f>+[4]BS17A!$U1199</f>
        <v>22670</v>
      </c>
      <c r="E177" s="97">
        <f>+[4]BS17A!$V1199</f>
        <v>702770</v>
      </c>
      <c r="F177" s="21"/>
    </row>
    <row r="178" spans="1:6" ht="12.75" customHeight="1" x14ac:dyDescent="0.2">
      <c r="A178" s="202" t="s">
        <v>254</v>
      </c>
      <c r="B178" s="11" t="s">
        <v>255</v>
      </c>
      <c r="C178" s="132">
        <f>+[4]BS17A!$D1200</f>
        <v>0</v>
      </c>
      <c r="D178" s="26">
        <f>+[4]BS17A!$U1200</f>
        <v>43280</v>
      </c>
      <c r="E178" s="97">
        <f>+[4]BS17A!$V1200</f>
        <v>0</v>
      </c>
      <c r="F178" s="21"/>
    </row>
    <row r="179" spans="1:6" ht="12.75" customHeight="1" x14ac:dyDescent="0.2">
      <c r="A179" s="202" t="s">
        <v>256</v>
      </c>
      <c r="B179" s="11" t="s">
        <v>257</v>
      </c>
      <c r="C179" s="132">
        <f>+[4]BS17A!$D1201</f>
        <v>49</v>
      </c>
      <c r="D179" s="26">
        <f>+[4]BS17A!$U1201</f>
        <v>48240</v>
      </c>
      <c r="E179" s="97">
        <f>+[4]BS17A!$V1201</f>
        <v>2363760</v>
      </c>
      <c r="F179" s="21"/>
    </row>
    <row r="180" spans="1:6" ht="24.75" customHeight="1" x14ac:dyDescent="0.2">
      <c r="A180" s="202" t="s">
        <v>258</v>
      </c>
      <c r="B180" s="11" t="s">
        <v>259</v>
      </c>
      <c r="C180" s="132">
        <f>+[4]BS17A!$D1202</f>
        <v>0</v>
      </c>
      <c r="D180" s="26">
        <f>+[4]BS17A!$U1202</f>
        <v>27060</v>
      </c>
      <c r="E180" s="97">
        <f>+[4]BS17A!$V1202</f>
        <v>0</v>
      </c>
      <c r="F180" s="21"/>
    </row>
    <row r="181" spans="1:6" ht="12.75" customHeight="1" x14ac:dyDescent="0.2">
      <c r="A181" s="202" t="s">
        <v>260</v>
      </c>
      <c r="B181" s="12" t="s">
        <v>261</v>
      </c>
      <c r="C181" s="132">
        <f>+[4]BS17A!$D1203</f>
        <v>0</v>
      </c>
      <c r="D181" s="26">
        <f>+[4]BS17A!$U1203</f>
        <v>209350</v>
      </c>
      <c r="E181" s="97">
        <f>+[4]BS17A!$V1203</f>
        <v>0</v>
      </c>
      <c r="F181" s="21"/>
    </row>
    <row r="182" spans="1:6" ht="12.75" customHeight="1" x14ac:dyDescent="0.2">
      <c r="A182" s="202" t="s">
        <v>262</v>
      </c>
      <c r="B182" s="11" t="s">
        <v>263</v>
      </c>
      <c r="C182" s="132">
        <f>+[4]BS17A!$D1204</f>
        <v>0</v>
      </c>
      <c r="D182" s="26">
        <f>+[4]BS17A!$U1204</f>
        <v>238000</v>
      </c>
      <c r="E182" s="97">
        <f>+[4]BS17A!$V1204</f>
        <v>0</v>
      </c>
      <c r="F182" s="21"/>
    </row>
    <row r="183" spans="1:6" ht="12.75" customHeight="1" x14ac:dyDescent="0.2">
      <c r="A183" s="202" t="s">
        <v>264</v>
      </c>
      <c r="B183" s="11" t="s">
        <v>265</v>
      </c>
      <c r="C183" s="132">
        <f>+[4]BS17A!$D1205</f>
        <v>0</v>
      </c>
      <c r="D183" s="26">
        <f>+[4]BS17A!$U1205</f>
        <v>194080</v>
      </c>
      <c r="E183" s="97">
        <f>+[4]BS17A!$V1205</f>
        <v>0</v>
      </c>
      <c r="F183" s="21"/>
    </row>
    <row r="184" spans="1:6" ht="24.75" customHeight="1" x14ac:dyDescent="0.2">
      <c r="A184" s="202" t="s">
        <v>266</v>
      </c>
      <c r="B184" s="12" t="s">
        <v>267</v>
      </c>
      <c r="C184" s="132">
        <f>+[4]BS17A!$D1206</f>
        <v>0</v>
      </c>
      <c r="D184" s="26">
        <f>+[4]BS17A!$U1206</f>
        <v>249290</v>
      </c>
      <c r="E184" s="97">
        <f>+[4]BS17A!$V1206</f>
        <v>0</v>
      </c>
      <c r="F184" s="21"/>
    </row>
    <row r="185" spans="1:6" ht="24.75" customHeight="1" x14ac:dyDescent="0.2">
      <c r="A185" s="202" t="s">
        <v>268</v>
      </c>
      <c r="B185" s="12" t="s">
        <v>269</v>
      </c>
      <c r="C185" s="132">
        <f>+[4]BS17A!$D1207</f>
        <v>0</v>
      </c>
      <c r="D185" s="26">
        <f>+[4]BS17A!$U1207</f>
        <v>255080</v>
      </c>
      <c r="E185" s="97">
        <f>+[4]BS17A!$V1207</f>
        <v>0</v>
      </c>
      <c r="F185" s="21"/>
    </row>
    <row r="186" spans="1:6" ht="24.75" customHeight="1" x14ac:dyDescent="0.2">
      <c r="A186" s="202" t="s">
        <v>270</v>
      </c>
      <c r="B186" s="12" t="s">
        <v>271</v>
      </c>
      <c r="C186" s="132">
        <f>+[4]BS17A!$D1208</f>
        <v>0</v>
      </c>
      <c r="D186" s="26">
        <f>+[4]BS17A!$U1208</f>
        <v>215710</v>
      </c>
      <c r="E186" s="97">
        <f>+[4]BS17A!$V1208</f>
        <v>0</v>
      </c>
      <c r="F186" s="21"/>
    </row>
    <row r="187" spans="1:6" ht="12.75" customHeight="1" x14ac:dyDescent="0.2">
      <c r="A187" s="202" t="s">
        <v>272</v>
      </c>
      <c r="B187" s="12" t="s">
        <v>273</v>
      </c>
      <c r="C187" s="132">
        <f>+[4]BS17A!$D1209</f>
        <v>0</v>
      </c>
      <c r="D187" s="26">
        <f>+[4]BS17A!$U1209</f>
        <v>230250</v>
      </c>
      <c r="E187" s="97">
        <f>+[4]BS17A!$V1209</f>
        <v>0</v>
      </c>
      <c r="F187" s="21"/>
    </row>
    <row r="188" spans="1:6" ht="12.75" customHeight="1" x14ac:dyDescent="0.2">
      <c r="A188" s="202" t="s">
        <v>274</v>
      </c>
      <c r="B188" s="12" t="s">
        <v>275</v>
      </c>
      <c r="C188" s="132">
        <f>+[4]BS17A!$D1210</f>
        <v>0</v>
      </c>
      <c r="D188" s="26">
        <f>+[4]BS17A!$U1210</f>
        <v>275320</v>
      </c>
      <c r="E188" s="97">
        <f>+[4]BS17A!$V1210</f>
        <v>0</v>
      </c>
      <c r="F188" s="21"/>
    </row>
    <row r="189" spans="1:6" ht="24.75" customHeight="1" x14ac:dyDescent="0.2">
      <c r="A189" s="202" t="s">
        <v>276</v>
      </c>
      <c r="B189" s="11" t="s">
        <v>277</v>
      </c>
      <c r="C189" s="132">
        <f>+[4]BS17A!$D1211</f>
        <v>0</v>
      </c>
      <c r="D189" s="26">
        <f>+[4]BS17A!$U1211</f>
        <v>244150</v>
      </c>
      <c r="E189" s="97">
        <f>+[4]BS17A!$V1211</f>
        <v>0</v>
      </c>
      <c r="F189" s="21"/>
    </row>
    <row r="190" spans="1:6" ht="24.75" customHeight="1" x14ac:dyDescent="0.2">
      <c r="A190" s="202" t="s">
        <v>278</v>
      </c>
      <c r="B190" s="12" t="s">
        <v>279</v>
      </c>
      <c r="C190" s="132">
        <f>+[4]BS17A!$D1212</f>
        <v>0</v>
      </c>
      <c r="D190" s="26">
        <f>+[4]BS17A!$U1212</f>
        <v>1786710</v>
      </c>
      <c r="E190" s="97">
        <f>+[4]BS17A!$V1212</f>
        <v>0</v>
      </c>
      <c r="F190" s="21"/>
    </row>
    <row r="191" spans="1:6" ht="12.75" customHeight="1" x14ac:dyDescent="0.2">
      <c r="A191" s="202" t="s">
        <v>280</v>
      </c>
      <c r="B191" s="12" t="s">
        <v>281</v>
      </c>
      <c r="C191" s="132">
        <f>+[4]BS17A!$D1213</f>
        <v>0</v>
      </c>
      <c r="D191" s="26">
        <f>+[4]BS17A!$U1213</f>
        <v>1115980</v>
      </c>
      <c r="E191" s="97">
        <f>+[4]BS17A!$V1213</f>
        <v>0</v>
      </c>
      <c r="F191" s="21"/>
    </row>
    <row r="192" spans="1:6" ht="12.75" customHeight="1" x14ac:dyDescent="0.2">
      <c r="A192" s="180" t="s">
        <v>282</v>
      </c>
      <c r="B192" s="12" t="s">
        <v>283</v>
      </c>
      <c r="C192" s="132">
        <f>+[4]BS17A!$D1214</f>
        <v>0</v>
      </c>
      <c r="D192" s="26">
        <f>+[4]BS17A!$U1214</f>
        <v>1080140</v>
      </c>
      <c r="E192" s="97">
        <f>+[4]BS17A!$V1214</f>
        <v>0</v>
      </c>
      <c r="F192" s="21"/>
    </row>
    <row r="193" spans="1:6" ht="24.75" customHeight="1" x14ac:dyDescent="0.2">
      <c r="A193" s="202" t="s">
        <v>284</v>
      </c>
      <c r="B193" s="12" t="s">
        <v>285</v>
      </c>
      <c r="C193" s="132">
        <f>+[4]BS17A!$D1215</f>
        <v>0</v>
      </c>
      <c r="D193" s="26">
        <f>+[4]BS17A!$U1215</f>
        <v>1131580</v>
      </c>
      <c r="E193" s="97">
        <f>+[4]BS17A!$V1215</f>
        <v>0</v>
      </c>
      <c r="F193" s="21"/>
    </row>
    <row r="194" spans="1:6" ht="12.75" customHeight="1" x14ac:dyDescent="0.2">
      <c r="A194" s="180" t="s">
        <v>286</v>
      </c>
      <c r="B194" s="12" t="s">
        <v>287</v>
      </c>
      <c r="C194" s="132">
        <f>+[4]BS17A!$D1216</f>
        <v>0</v>
      </c>
      <c r="D194" s="26">
        <f>+[4]BS17A!$U1216</f>
        <v>160130</v>
      </c>
      <c r="E194" s="97">
        <f>+[4]BS17A!$V1216</f>
        <v>0</v>
      </c>
      <c r="F194" s="21"/>
    </row>
    <row r="195" spans="1:6" ht="12.75" customHeight="1" x14ac:dyDescent="0.2">
      <c r="A195" s="180" t="s">
        <v>288</v>
      </c>
      <c r="B195" s="12" t="s">
        <v>289</v>
      </c>
      <c r="C195" s="132">
        <f>+[4]BS17A!$D1217</f>
        <v>0</v>
      </c>
      <c r="D195" s="26">
        <f>+[4]BS17A!$U1217</f>
        <v>365410</v>
      </c>
      <c r="E195" s="97">
        <f>+[4]BS17A!$V1217</f>
        <v>0</v>
      </c>
      <c r="F195" s="21"/>
    </row>
    <row r="196" spans="1:6" ht="12.75" customHeight="1" x14ac:dyDescent="0.2">
      <c r="A196" s="202" t="s">
        <v>290</v>
      </c>
      <c r="B196" s="12" t="s">
        <v>291</v>
      </c>
      <c r="C196" s="132">
        <f>+[4]BS17A!$D1218</f>
        <v>0</v>
      </c>
      <c r="D196" s="26">
        <f>+[4]BS17A!$U1218</f>
        <v>135470</v>
      </c>
      <c r="E196" s="97">
        <f>+[4]BS17A!$V1218</f>
        <v>0</v>
      </c>
      <c r="F196" s="21"/>
    </row>
    <row r="197" spans="1:6" ht="12.75" customHeight="1" x14ac:dyDescent="0.2">
      <c r="A197" s="202" t="s">
        <v>292</v>
      </c>
      <c r="B197" s="12" t="s">
        <v>293</v>
      </c>
      <c r="C197" s="132">
        <f>+[4]BS17A!$D1219</f>
        <v>0</v>
      </c>
      <c r="D197" s="26">
        <f>+[4]BS17A!$U1219</f>
        <v>1097590</v>
      </c>
      <c r="E197" s="97">
        <f>+[4]BS17A!$V1219</f>
        <v>0</v>
      </c>
      <c r="F197" s="21"/>
    </row>
    <row r="198" spans="1:6" ht="12.75" customHeight="1" x14ac:dyDescent="0.2">
      <c r="A198" s="202" t="s">
        <v>294</v>
      </c>
      <c r="B198" s="12" t="s">
        <v>295</v>
      </c>
      <c r="C198" s="132">
        <f>+[4]BS17A!$D1220</f>
        <v>0</v>
      </c>
      <c r="D198" s="26">
        <f>+[4]BS17A!$U1220</f>
        <v>1097590</v>
      </c>
      <c r="E198" s="97">
        <f>+[4]BS17A!$V1220</f>
        <v>0</v>
      </c>
      <c r="F198" s="21"/>
    </row>
    <row r="199" spans="1:6" ht="12.75" customHeight="1" x14ac:dyDescent="0.2">
      <c r="A199" s="202">
        <v>1801001</v>
      </c>
      <c r="B199" s="10" t="s">
        <v>296</v>
      </c>
      <c r="C199" s="132">
        <f>+[4]BS17A!$D1354</f>
        <v>49</v>
      </c>
      <c r="D199" s="26">
        <f>+[4]BS17A!$U1354</f>
        <v>32740</v>
      </c>
      <c r="E199" s="97">
        <f>+[4]BS17A!$V1354</f>
        <v>1604260</v>
      </c>
      <c r="F199" s="21"/>
    </row>
    <row r="200" spans="1:6" ht="12.75" customHeight="1" x14ac:dyDescent="0.2">
      <c r="A200" s="202">
        <v>1801003</v>
      </c>
      <c r="B200" s="12" t="s">
        <v>297</v>
      </c>
      <c r="C200" s="132">
        <f>+[4]BS17A!$D1355</f>
        <v>0</v>
      </c>
      <c r="D200" s="26">
        <f>+[4]BS17A!$U1355</f>
        <v>39490</v>
      </c>
      <c r="E200" s="97">
        <f>+[4]BS17A!$V1355</f>
        <v>0</v>
      </c>
      <c r="F200" s="21"/>
    </row>
    <row r="201" spans="1:6" ht="12.75" customHeight="1" x14ac:dyDescent="0.2">
      <c r="A201" s="202">
        <v>1801006</v>
      </c>
      <c r="B201" s="10" t="s">
        <v>298</v>
      </c>
      <c r="C201" s="132">
        <f>+[4]BS17A!$D1356</f>
        <v>5</v>
      </c>
      <c r="D201" s="26">
        <f>+[4]BS17A!$U1356</f>
        <v>42060</v>
      </c>
      <c r="E201" s="97">
        <f>+[4]BS17A!$V1356</f>
        <v>210300</v>
      </c>
      <c r="F201" s="21"/>
    </row>
    <row r="202" spans="1:6" ht="24.75" customHeight="1" x14ac:dyDescent="0.2">
      <c r="A202" s="202" t="s">
        <v>299</v>
      </c>
      <c r="B202" s="10" t="s">
        <v>300</v>
      </c>
      <c r="C202" s="132">
        <f>[4]BS17A!D1036</f>
        <v>3</v>
      </c>
      <c r="D202" s="26">
        <f>[4]BS17A!U1036</f>
        <v>8850</v>
      </c>
      <c r="E202" s="97">
        <f>[4]BS17A!V1036</f>
        <v>26550</v>
      </c>
      <c r="F202" s="21"/>
    </row>
    <row r="203" spans="1:6" ht="24.75" customHeight="1" x14ac:dyDescent="0.2">
      <c r="A203" s="204" t="s">
        <v>301</v>
      </c>
      <c r="B203" s="13" t="s">
        <v>302</v>
      </c>
      <c r="C203" s="163">
        <f>[4]BS17A!D807</f>
        <v>0</v>
      </c>
      <c r="D203" s="107">
        <f>[4]BS17A!U807</f>
        <v>375680</v>
      </c>
      <c r="E203" s="108">
        <f>[4]BS17A!V807</f>
        <v>0</v>
      </c>
      <c r="F203" s="21"/>
    </row>
    <row r="204" spans="1:6" ht="17.25" customHeight="1" x14ac:dyDescent="0.2">
      <c r="A204" s="187"/>
      <c r="B204" s="186" t="s">
        <v>303</v>
      </c>
      <c r="C204" s="35">
        <f>SUM(C173:C203)</f>
        <v>846</v>
      </c>
      <c r="D204" s="100"/>
      <c r="E204" s="101">
        <f>SUM(E173:E203)</f>
        <v>8464740</v>
      </c>
      <c r="F204" s="21"/>
    </row>
    <row r="205" spans="1:6" ht="21.75" customHeight="1" x14ac:dyDescent="0.2">
      <c r="A205" s="21"/>
      <c r="B205" s="21"/>
      <c r="C205" s="21"/>
      <c r="D205" s="21"/>
      <c r="E205" s="21"/>
      <c r="F205" s="21"/>
    </row>
    <row r="206" spans="1:6" ht="19.5" customHeight="1" x14ac:dyDescent="0.2">
      <c r="A206" s="21"/>
      <c r="B206" s="21"/>
      <c r="C206" s="21"/>
      <c r="D206" s="21"/>
      <c r="E206" s="21"/>
      <c r="F206" s="21"/>
    </row>
    <row r="207" spans="1:6" ht="18" customHeight="1" x14ac:dyDescent="0.2">
      <c r="A207" s="549" t="s">
        <v>304</v>
      </c>
      <c r="B207" s="550"/>
      <c r="C207" s="550"/>
      <c r="D207" s="550"/>
      <c r="E207" s="551"/>
      <c r="F207" s="18"/>
    </row>
    <row r="208" spans="1:6" ht="39.75" customHeight="1" x14ac:dyDescent="0.2">
      <c r="A208" s="1" t="s">
        <v>8</v>
      </c>
      <c r="B208" s="1" t="s">
        <v>9</v>
      </c>
      <c r="C208" s="242" t="s">
        <v>10</v>
      </c>
      <c r="D208" s="3" t="s">
        <v>11</v>
      </c>
      <c r="E208" s="244" t="s">
        <v>12</v>
      </c>
      <c r="F208" s="18"/>
    </row>
    <row r="209" spans="1:6" ht="12.75" customHeight="1" x14ac:dyDescent="0.2">
      <c r="A209" s="179" t="s">
        <v>305</v>
      </c>
      <c r="B209" s="196" t="s">
        <v>306</v>
      </c>
      <c r="C209" s="135">
        <f>+[4]BS17A!$D18</f>
        <v>0</v>
      </c>
      <c r="D209" s="31">
        <f>+[4]BS17A!$U18</f>
        <v>13700</v>
      </c>
      <c r="E209" s="96">
        <f>+[4]BS17A!$V18</f>
        <v>0</v>
      </c>
      <c r="F209" s="21"/>
    </row>
    <row r="210" spans="1:6" ht="12.75" customHeight="1" x14ac:dyDescent="0.2">
      <c r="A210" s="180" t="s">
        <v>307</v>
      </c>
      <c r="B210" s="177" t="s">
        <v>308</v>
      </c>
      <c r="C210" s="132">
        <f>+[4]BS17A!$D19</f>
        <v>58</v>
      </c>
      <c r="D210" s="26">
        <f>+[4]BS17A!$U19</f>
        <v>13700</v>
      </c>
      <c r="E210" s="97">
        <f>+[4]BS17A!$V19</f>
        <v>794600</v>
      </c>
      <c r="F210" s="21"/>
    </row>
    <row r="211" spans="1:6" ht="12.75" customHeight="1" x14ac:dyDescent="0.2">
      <c r="A211" s="180" t="s">
        <v>309</v>
      </c>
      <c r="B211" s="176" t="s">
        <v>310</v>
      </c>
      <c r="C211" s="132">
        <f>+[4]BS17A!$D47</f>
        <v>0</v>
      </c>
      <c r="D211" s="26">
        <f>+[4]BS17A!$U47</f>
        <v>1310</v>
      </c>
      <c r="E211" s="97">
        <f>+[4]BS17A!$V47</f>
        <v>0</v>
      </c>
      <c r="F211" s="21"/>
    </row>
    <row r="212" spans="1:6" ht="12.75" customHeight="1" x14ac:dyDescent="0.2">
      <c r="A212" s="180" t="s">
        <v>311</v>
      </c>
      <c r="B212" s="176" t="s">
        <v>312</v>
      </c>
      <c r="C212" s="132">
        <f>+[4]BS17A!$D48</f>
        <v>546</v>
      </c>
      <c r="D212" s="26">
        <f>+[4]BS17A!$U48</f>
        <v>640</v>
      </c>
      <c r="E212" s="97">
        <f>+[4]BS17A!$V48</f>
        <v>349440</v>
      </c>
      <c r="F212" s="21"/>
    </row>
    <row r="213" spans="1:6" ht="12.75" customHeight="1" x14ac:dyDescent="0.2">
      <c r="A213" s="180" t="s">
        <v>313</v>
      </c>
      <c r="B213" s="177" t="s">
        <v>314</v>
      </c>
      <c r="C213" s="132">
        <f>+[4]BS17A!$D49</f>
        <v>409</v>
      </c>
      <c r="D213" s="26">
        <f>+[4]BS17A!$U49</f>
        <v>1940</v>
      </c>
      <c r="E213" s="97">
        <f>+[4]BS17A!$V49</f>
        <v>793460</v>
      </c>
      <c r="F213" s="21"/>
    </row>
    <row r="214" spans="1:6" ht="12.75" customHeight="1" x14ac:dyDescent="0.2">
      <c r="A214" s="180" t="s">
        <v>315</v>
      </c>
      <c r="B214" s="177" t="s">
        <v>316</v>
      </c>
      <c r="C214" s="132">
        <f>+[4]BS17A!$D50</f>
        <v>52</v>
      </c>
      <c r="D214" s="26">
        <f>+[4]BS17A!$U50</f>
        <v>14590</v>
      </c>
      <c r="E214" s="97">
        <f>+[4]BS17A!$V50</f>
        <v>758680</v>
      </c>
      <c r="F214" s="21"/>
    </row>
    <row r="215" spans="1:6" ht="12.75" customHeight="1" x14ac:dyDescent="0.2">
      <c r="A215" s="180" t="s">
        <v>317</v>
      </c>
      <c r="B215" s="176" t="s">
        <v>318</v>
      </c>
      <c r="C215" s="132">
        <f>+[4]BS17A!$D51</f>
        <v>92</v>
      </c>
      <c r="D215" s="26">
        <f>+[4]BS17A!$U51</f>
        <v>33500</v>
      </c>
      <c r="E215" s="97">
        <f>+[4]BS17A!$V51</f>
        <v>3082000</v>
      </c>
      <c r="F215" s="21"/>
    </row>
    <row r="216" spans="1:6" ht="12.75" customHeight="1" x14ac:dyDescent="0.2">
      <c r="A216" s="202" t="s">
        <v>319</v>
      </c>
      <c r="B216" s="176" t="s">
        <v>320</v>
      </c>
      <c r="C216" s="132">
        <f>+[4]BS17A!D52</f>
        <v>23</v>
      </c>
      <c r="D216" s="109"/>
      <c r="E216" s="97">
        <f>+[4]BS17A!V52</f>
        <v>192280</v>
      </c>
      <c r="F216" s="21"/>
    </row>
    <row r="217" spans="1:6" ht="12.75" customHeight="1" x14ac:dyDescent="0.2">
      <c r="A217" s="181" t="s">
        <v>321</v>
      </c>
      <c r="B217" s="178" t="s">
        <v>322</v>
      </c>
      <c r="C217" s="142">
        <f>+[4]BS17A!$D1861</f>
        <v>32</v>
      </c>
      <c r="D217" s="33">
        <f>+[4]BS17A!$U1861</f>
        <v>27160</v>
      </c>
      <c r="E217" s="102">
        <f>+[4]BS17A!$V1861</f>
        <v>869120</v>
      </c>
      <c r="F217" s="21"/>
    </row>
    <row r="218" spans="1:6" ht="12.75" x14ac:dyDescent="0.2">
      <c r="A218" s="187"/>
      <c r="B218" s="186" t="s">
        <v>323</v>
      </c>
      <c r="C218" s="35">
        <f>SUM(C209:C217)</f>
        <v>1212</v>
      </c>
      <c r="D218" s="100"/>
      <c r="E218" s="108">
        <f>SUM(E209:E217)</f>
        <v>6839580</v>
      </c>
      <c r="F218" s="21"/>
    </row>
    <row r="219" spans="1:6" ht="17.25" customHeight="1" x14ac:dyDescent="0.2">
      <c r="A219" s="21"/>
      <c r="B219" s="21"/>
      <c r="C219" s="21"/>
      <c r="D219" s="21"/>
      <c r="E219" s="21"/>
      <c r="F219" s="21"/>
    </row>
    <row r="220" spans="1:6" ht="18" customHeight="1" x14ac:dyDescent="0.2">
      <c r="A220" s="21"/>
      <c r="B220" s="21"/>
      <c r="C220" s="21"/>
      <c r="D220" s="21"/>
      <c r="E220" s="21"/>
      <c r="F220" s="21"/>
    </row>
    <row r="221" spans="1:6" ht="27.75" customHeight="1" x14ac:dyDescent="0.2">
      <c r="A221" s="563" t="s">
        <v>324</v>
      </c>
      <c r="B221" s="564"/>
      <c r="C221" s="565"/>
      <c r="D221" s="21"/>
      <c r="E221" s="21"/>
      <c r="F221" s="18"/>
    </row>
    <row r="222" spans="1:6" ht="42.75" customHeight="1" x14ac:dyDescent="0.2">
      <c r="A222" s="1" t="s">
        <v>8</v>
      </c>
      <c r="B222" s="1" t="s">
        <v>10</v>
      </c>
      <c r="C222" s="1" t="s">
        <v>12</v>
      </c>
      <c r="D222" s="18"/>
      <c r="E222" s="21"/>
      <c r="F222" s="21"/>
    </row>
    <row r="223" spans="1:6" ht="15" customHeight="1" x14ac:dyDescent="0.2">
      <c r="A223" s="179" t="s">
        <v>325</v>
      </c>
      <c r="B223" s="197" t="s">
        <v>326</v>
      </c>
      <c r="C223" s="110"/>
      <c r="D223" s="111"/>
      <c r="E223" s="21"/>
      <c r="F223" s="21"/>
    </row>
    <row r="224" spans="1:6" ht="15" customHeight="1" x14ac:dyDescent="0.2">
      <c r="A224" s="200" t="s">
        <v>327</v>
      </c>
      <c r="B224" s="198" t="s">
        <v>328</v>
      </c>
      <c r="C224" s="112"/>
      <c r="D224" s="111"/>
      <c r="E224" s="21"/>
      <c r="F224" s="21"/>
    </row>
    <row r="225" spans="1:7" ht="18" customHeight="1" x14ac:dyDescent="0.2">
      <c r="A225" s="201"/>
      <c r="B225" s="199" t="s">
        <v>329</v>
      </c>
      <c r="C225" s="162">
        <f>SUM(C223:C224)</f>
        <v>0</v>
      </c>
      <c r="D225" s="111"/>
      <c r="E225" s="21"/>
      <c r="F225" s="21"/>
    </row>
    <row r="226" spans="1:7" ht="18" customHeight="1" x14ac:dyDescent="0.2">
      <c r="A226" s="21"/>
      <c r="B226" s="21"/>
      <c r="C226" s="21"/>
      <c r="D226" s="111"/>
      <c r="E226" s="111"/>
      <c r="F226" s="111"/>
    </row>
    <row r="227" spans="1:7" ht="18" customHeight="1" x14ac:dyDescent="0.2">
      <c r="A227" s="21"/>
      <c r="B227" s="21"/>
      <c r="C227" s="21"/>
      <c r="D227" s="21"/>
      <c r="E227" s="21"/>
      <c r="F227" s="111"/>
      <c r="G227" s="113"/>
    </row>
    <row r="228" spans="1:7" ht="18" customHeight="1" x14ac:dyDescent="0.2">
      <c r="A228" s="549" t="s">
        <v>330</v>
      </c>
      <c r="B228" s="550"/>
      <c r="C228" s="550"/>
      <c r="D228" s="550"/>
      <c r="E228" s="551"/>
      <c r="F228" s="111"/>
      <c r="G228" s="113"/>
    </row>
    <row r="229" spans="1:7" ht="56.25" customHeight="1" x14ac:dyDescent="0.2">
      <c r="A229" s="1" t="s">
        <v>8</v>
      </c>
      <c r="B229" s="1" t="s">
        <v>9</v>
      </c>
      <c r="C229" s="242" t="s">
        <v>10</v>
      </c>
      <c r="D229" s="3" t="s">
        <v>11</v>
      </c>
      <c r="E229" s="244" t="s">
        <v>12</v>
      </c>
      <c r="F229" s="111"/>
      <c r="G229" s="113"/>
    </row>
    <row r="230" spans="1:7" ht="15" customHeight="1" x14ac:dyDescent="0.2">
      <c r="A230" s="179" t="s">
        <v>331</v>
      </c>
      <c r="B230" s="196" t="s">
        <v>332</v>
      </c>
      <c r="C230" s="160">
        <f>+[4]BS17A!$D1941</f>
        <v>450</v>
      </c>
      <c r="D230" s="31">
        <f>+[4]BS17A!$U1941</f>
        <v>18750</v>
      </c>
      <c r="E230" s="96">
        <f>+[4]BS17A!$V1941</f>
        <v>8437500</v>
      </c>
      <c r="F230" s="21"/>
    </row>
    <row r="231" spans="1:7" ht="15" customHeight="1" x14ac:dyDescent="0.2">
      <c r="A231" s="181" t="s">
        <v>333</v>
      </c>
      <c r="B231" s="178" t="s">
        <v>334</v>
      </c>
      <c r="C231" s="161">
        <f>+[4]BS17A!$D1942</f>
        <v>0</v>
      </c>
      <c r="D231" s="33">
        <f>+[4]BS17A!$U1942</f>
        <v>235010</v>
      </c>
      <c r="E231" s="102">
        <f>+[4]BS17A!$V1942</f>
        <v>0</v>
      </c>
      <c r="F231" s="21"/>
    </row>
    <row r="232" spans="1:7" ht="18" customHeight="1" x14ac:dyDescent="0.2">
      <c r="A232" s="187"/>
      <c r="B232" s="186" t="s">
        <v>335</v>
      </c>
      <c r="C232" s="35">
        <f>SUM(C230:C231)</f>
        <v>450</v>
      </c>
      <c r="D232" s="100"/>
      <c r="E232" s="101">
        <f>SUM(E230:E231)</f>
        <v>8437500</v>
      </c>
      <c r="F232" s="21"/>
    </row>
    <row r="233" spans="1:7" ht="18" customHeight="1" x14ac:dyDescent="0.2">
      <c r="A233" s="114"/>
      <c r="B233" s="115"/>
      <c r="C233" s="116"/>
      <c r="D233" s="114"/>
      <c r="E233" s="114"/>
      <c r="F233" s="21"/>
    </row>
    <row r="234" spans="1:7" ht="18" customHeight="1" x14ac:dyDescent="0.2">
      <c r="A234" s="114"/>
      <c r="B234" s="115"/>
      <c r="C234" s="116"/>
      <c r="D234" s="114"/>
      <c r="E234" s="114"/>
      <c r="F234" s="21"/>
    </row>
    <row r="235" spans="1:7" ht="18" customHeight="1" x14ac:dyDescent="0.2">
      <c r="A235" s="557" t="s">
        <v>336</v>
      </c>
      <c r="B235" s="550"/>
      <c r="C235" s="550"/>
      <c r="D235" s="550"/>
      <c r="E235" s="551"/>
      <c r="F235" s="21"/>
    </row>
    <row r="236" spans="1:7" ht="41.25" customHeight="1" x14ac:dyDescent="0.2">
      <c r="A236" s="1" t="s">
        <v>8</v>
      </c>
      <c r="B236" s="1" t="s">
        <v>9</v>
      </c>
      <c r="C236" s="242" t="s">
        <v>10</v>
      </c>
      <c r="D236" s="3" t="s">
        <v>11</v>
      </c>
      <c r="E236" s="244" t="s">
        <v>12</v>
      </c>
      <c r="F236" s="21"/>
    </row>
    <row r="237" spans="1:7" ht="18" customHeight="1" x14ac:dyDescent="0.2">
      <c r="A237" s="93" t="s">
        <v>337</v>
      </c>
      <c r="B237" s="43" t="s">
        <v>338</v>
      </c>
      <c r="C237" s="117">
        <f>[4]BS17A!D768</f>
        <v>686</v>
      </c>
      <c r="D237" s="118"/>
      <c r="E237" s="119">
        <f>[4]BS17A!V768</f>
        <v>4357000</v>
      </c>
      <c r="F237" s="21"/>
    </row>
    <row r="238" spans="1:7" ht="18" customHeight="1" x14ac:dyDescent="0.2">
      <c r="A238" s="114"/>
      <c r="B238" s="115"/>
      <c r="C238" s="116"/>
      <c r="D238" s="114"/>
      <c r="E238" s="114"/>
      <c r="F238" s="21"/>
    </row>
    <row r="239" spans="1:7" ht="18" customHeight="1" x14ac:dyDescent="0.2">
      <c r="A239" s="557" t="s">
        <v>339</v>
      </c>
      <c r="B239" s="558"/>
      <c r="C239" s="558"/>
      <c r="D239" s="558"/>
      <c r="E239" s="559"/>
      <c r="F239" s="21"/>
    </row>
    <row r="240" spans="1:7" ht="43.5" customHeight="1" x14ac:dyDescent="0.2">
      <c r="A240" s="1" t="s">
        <v>8</v>
      </c>
      <c r="B240" s="242" t="s">
        <v>340</v>
      </c>
      <c r="C240" s="2" t="s">
        <v>341</v>
      </c>
      <c r="D240" s="3" t="s">
        <v>11</v>
      </c>
      <c r="E240" s="244" t="s">
        <v>12</v>
      </c>
      <c r="F240" s="21"/>
    </row>
    <row r="241" spans="1:6" ht="15" customHeight="1" x14ac:dyDescent="0.2">
      <c r="A241" s="30" t="s">
        <v>342</v>
      </c>
      <c r="B241" s="144" t="s">
        <v>343</v>
      </c>
      <c r="C241" s="135">
        <f>+[4]BS17A!$D1944</f>
        <v>0</v>
      </c>
      <c r="D241" s="31">
        <f>+[4]BS17A!$U1944</f>
        <v>240030</v>
      </c>
      <c r="E241" s="96">
        <f>+[4]BS17A!$V1944</f>
        <v>0</v>
      </c>
      <c r="F241" s="21"/>
    </row>
    <row r="242" spans="1:6" ht="15" customHeight="1" x14ac:dyDescent="0.2">
      <c r="A242" s="25" t="s">
        <v>344</v>
      </c>
      <c r="B242" s="145" t="s">
        <v>345</v>
      </c>
      <c r="C242" s="132">
        <f>+[4]BS17A!$D1945</f>
        <v>0</v>
      </c>
      <c r="D242" s="26">
        <f>+[4]BS17A!$U1945</f>
        <v>34110</v>
      </c>
      <c r="E242" s="97">
        <f>+[4]BS17A!$V1945</f>
        <v>0</v>
      </c>
      <c r="F242" s="21"/>
    </row>
    <row r="243" spans="1:6" ht="15" customHeight="1" x14ac:dyDescent="0.2">
      <c r="A243" s="25" t="s">
        <v>346</v>
      </c>
      <c r="B243" s="145" t="s">
        <v>347</v>
      </c>
      <c r="C243" s="132">
        <f>+[4]BS17A!$D1946</f>
        <v>0</v>
      </c>
      <c r="D243" s="26">
        <f>+[4]BS17A!$U1946</f>
        <v>128660</v>
      </c>
      <c r="E243" s="97">
        <f>+[4]BS17A!$V1946</f>
        <v>0</v>
      </c>
      <c r="F243" s="21"/>
    </row>
    <row r="244" spans="1:6" ht="15" customHeight="1" x14ac:dyDescent="0.2">
      <c r="A244" s="25" t="s">
        <v>348</v>
      </c>
      <c r="B244" s="145" t="s">
        <v>349</v>
      </c>
      <c r="C244" s="132">
        <f>+[4]BS17A!$D1947</f>
        <v>0</v>
      </c>
      <c r="D244" s="26">
        <f>+[4]BS17A!$U1947</f>
        <v>128660</v>
      </c>
      <c r="E244" s="97">
        <f>+[4]BS17A!$V1947</f>
        <v>0</v>
      </c>
      <c r="F244" s="21"/>
    </row>
    <row r="245" spans="1:6" ht="15" customHeight="1" x14ac:dyDescent="0.2">
      <c r="A245" s="25" t="s">
        <v>350</v>
      </c>
      <c r="B245" s="145" t="s">
        <v>351</v>
      </c>
      <c r="C245" s="132">
        <f>+[4]BS17A!$D1948</f>
        <v>0</v>
      </c>
      <c r="D245" s="26">
        <f>+[4]BS17A!$U1948</f>
        <v>234230</v>
      </c>
      <c r="E245" s="97">
        <f>+[4]BS17A!$V1948</f>
        <v>0</v>
      </c>
      <c r="F245" s="21"/>
    </row>
    <row r="246" spans="1:6" ht="15" customHeight="1" x14ac:dyDescent="0.2">
      <c r="A246" s="25" t="s">
        <v>352</v>
      </c>
      <c r="B246" s="145" t="s">
        <v>353</v>
      </c>
      <c r="C246" s="132">
        <f>+[4]BS17A!$D1949</f>
        <v>0</v>
      </c>
      <c r="D246" s="26">
        <f>+[4]BS17A!$U1949</f>
        <v>359460</v>
      </c>
      <c r="E246" s="97">
        <f>+[4]BS17A!$V1949</f>
        <v>0</v>
      </c>
      <c r="F246" s="21"/>
    </row>
    <row r="247" spans="1:6" ht="15" customHeight="1" x14ac:dyDescent="0.2">
      <c r="A247" s="25" t="s">
        <v>354</v>
      </c>
      <c r="B247" s="145" t="s">
        <v>355</v>
      </c>
      <c r="C247" s="132">
        <f>+[4]BS17A!$D1950</f>
        <v>0</v>
      </c>
      <c r="D247" s="26">
        <f>+[4]BS17A!$U1950</f>
        <v>613210</v>
      </c>
      <c r="E247" s="97">
        <f>+[4]BS17A!$V1950</f>
        <v>0</v>
      </c>
      <c r="F247" s="21"/>
    </row>
    <row r="248" spans="1:6" ht="15" customHeight="1" x14ac:dyDescent="0.2">
      <c r="A248" s="48" t="s">
        <v>356</v>
      </c>
      <c r="B248" s="145" t="s">
        <v>357</v>
      </c>
      <c r="C248" s="132">
        <f>+[4]BS17A!$D1951</f>
        <v>0</v>
      </c>
      <c r="D248" s="26">
        <f>+[4]BS17A!$U1951</f>
        <v>127720</v>
      </c>
      <c r="E248" s="97">
        <f>+[4]BS17A!$V1951</f>
        <v>0</v>
      </c>
      <c r="F248" s="21"/>
    </row>
    <row r="249" spans="1:6" ht="15" customHeight="1" x14ac:dyDescent="0.2">
      <c r="A249" s="48" t="s">
        <v>358</v>
      </c>
      <c r="B249" s="145" t="s">
        <v>359</v>
      </c>
      <c r="C249" s="132">
        <f>+[4]BS17A!$D1952</f>
        <v>0</v>
      </c>
      <c r="D249" s="26">
        <f>+[4]BS17A!$U1952</f>
        <v>344230</v>
      </c>
      <c r="E249" s="97">
        <f>+[4]BS17A!$V1952</f>
        <v>0</v>
      </c>
      <c r="F249" s="21"/>
    </row>
    <row r="250" spans="1:6" ht="15" customHeight="1" x14ac:dyDescent="0.2">
      <c r="A250" s="48" t="s">
        <v>360</v>
      </c>
      <c r="B250" s="145" t="s">
        <v>361</v>
      </c>
      <c r="C250" s="156">
        <f>+[4]BS17A!$D1953</f>
        <v>0</v>
      </c>
      <c r="D250" s="28">
        <f>+[4]BS17A!$U1953</f>
        <v>144940</v>
      </c>
      <c r="E250" s="120">
        <f>+[4]BS17A!$V1953</f>
        <v>0</v>
      </c>
      <c r="F250" s="21"/>
    </row>
    <row r="251" spans="1:6" ht="15" customHeight="1" x14ac:dyDescent="0.2">
      <c r="A251" s="48" t="s">
        <v>362</v>
      </c>
      <c r="B251" s="145" t="s">
        <v>363</v>
      </c>
      <c r="C251" s="156">
        <f>+[4]BS17A!$D1954</f>
        <v>0</v>
      </c>
      <c r="D251" s="28">
        <f>+[4]BS17A!$U1954</f>
        <v>125950</v>
      </c>
      <c r="E251" s="120">
        <f>+[4]BS17A!$V1954</f>
        <v>0</v>
      </c>
      <c r="F251" s="21"/>
    </row>
    <row r="252" spans="1:6" ht="15" customHeight="1" x14ac:dyDescent="0.2">
      <c r="A252" s="48" t="s">
        <v>364</v>
      </c>
      <c r="B252" s="145" t="s">
        <v>365</v>
      </c>
      <c r="C252" s="156">
        <f>+[4]BS17A!$D1955</f>
        <v>0</v>
      </c>
      <c r="D252" s="28">
        <f>+[4]BS17A!$U1955</f>
        <v>191490</v>
      </c>
      <c r="E252" s="120">
        <f>+[4]BS17A!$V1955</f>
        <v>0</v>
      </c>
      <c r="F252" s="21"/>
    </row>
    <row r="253" spans="1:6" ht="15" customHeight="1" x14ac:dyDescent="0.2">
      <c r="A253" s="48" t="s">
        <v>366</v>
      </c>
      <c r="B253" s="145" t="s">
        <v>367</v>
      </c>
      <c r="C253" s="156">
        <f>+[4]BS17A!$D1956</f>
        <v>0</v>
      </c>
      <c r="D253" s="28">
        <f>+[4]BS17A!$U1956</f>
        <v>50390</v>
      </c>
      <c r="E253" s="120">
        <f>+[4]BS17A!$V1956</f>
        <v>0</v>
      </c>
      <c r="F253" s="21"/>
    </row>
    <row r="254" spans="1:6" ht="15" customHeight="1" x14ac:dyDescent="0.2">
      <c r="A254" s="79" t="s">
        <v>368</v>
      </c>
      <c r="B254" s="155" t="s">
        <v>369</v>
      </c>
      <c r="C254" s="142">
        <f>+[4]BS17A!$D1957</f>
        <v>0</v>
      </c>
      <c r="D254" s="33">
        <f>+[4]BS17A!$U1957</f>
        <v>37660</v>
      </c>
      <c r="E254" s="102">
        <f>+[4]BS17A!$V1957</f>
        <v>0</v>
      </c>
      <c r="F254" s="21"/>
    </row>
    <row r="255" spans="1:6" ht="15" customHeight="1" x14ac:dyDescent="0.2">
      <c r="A255" s="552" t="s">
        <v>370</v>
      </c>
      <c r="B255" s="553"/>
      <c r="C255" s="553"/>
      <c r="D255" s="553"/>
      <c r="E255" s="554"/>
      <c r="F255" s="21"/>
    </row>
    <row r="256" spans="1:6" ht="15" customHeight="1" x14ac:dyDescent="0.2">
      <c r="A256" s="179" t="s">
        <v>371</v>
      </c>
      <c r="B256" s="193" t="s">
        <v>343</v>
      </c>
      <c r="C256" s="135">
        <f>+[4]BS17A!$D1958</f>
        <v>0</v>
      </c>
      <c r="D256" s="31">
        <f>+[4]BS17A!$U1958</f>
        <v>206500</v>
      </c>
      <c r="E256" s="96">
        <f>+[4]BS17A!$V1958</f>
        <v>0</v>
      </c>
      <c r="F256" s="21"/>
    </row>
    <row r="257" spans="1:6" ht="15" customHeight="1" x14ac:dyDescent="0.2">
      <c r="A257" s="180" t="s">
        <v>372</v>
      </c>
      <c r="B257" s="194" t="s">
        <v>373</v>
      </c>
      <c r="C257" s="132">
        <f>+[4]BS17A!$D1959</f>
        <v>0</v>
      </c>
      <c r="D257" s="26">
        <f>+[4]BS17A!$U1959</f>
        <v>1228440</v>
      </c>
      <c r="E257" s="97">
        <f>+[4]BS17A!$V1959</f>
        <v>0</v>
      </c>
      <c r="F257" s="21"/>
    </row>
    <row r="258" spans="1:6" ht="15" customHeight="1" x14ac:dyDescent="0.2">
      <c r="A258" s="180" t="s">
        <v>374</v>
      </c>
      <c r="B258" s="194" t="s">
        <v>375</v>
      </c>
      <c r="C258" s="132">
        <f>+[4]BS17A!$D1960</f>
        <v>0</v>
      </c>
      <c r="D258" s="26">
        <f>+[4]BS17A!$U1960</f>
        <v>185340</v>
      </c>
      <c r="E258" s="97">
        <f>+[4]BS17A!$V1960</f>
        <v>0</v>
      </c>
      <c r="F258" s="21"/>
    </row>
    <row r="259" spans="1:6" ht="15" customHeight="1" x14ac:dyDescent="0.2">
      <c r="A259" s="180" t="s">
        <v>376</v>
      </c>
      <c r="B259" s="194" t="s">
        <v>377</v>
      </c>
      <c r="C259" s="132">
        <f>+[4]BS17A!$D1961</f>
        <v>0</v>
      </c>
      <c r="D259" s="26">
        <f>+[4]BS17A!$U1961</f>
        <v>163900</v>
      </c>
      <c r="E259" s="97">
        <f>+[4]BS17A!$V1961</f>
        <v>0</v>
      </c>
      <c r="F259" s="21"/>
    </row>
    <row r="260" spans="1:6" ht="15" customHeight="1" x14ac:dyDescent="0.2">
      <c r="A260" s="180" t="s">
        <v>378</v>
      </c>
      <c r="B260" s="194" t="s">
        <v>379</v>
      </c>
      <c r="C260" s="132">
        <f>+[4]BS17A!$D1962</f>
        <v>0</v>
      </c>
      <c r="D260" s="26">
        <f>+[4]BS17A!$U1962</f>
        <v>332720</v>
      </c>
      <c r="E260" s="97">
        <f>+[4]BS17A!$V1962</f>
        <v>0</v>
      </c>
      <c r="F260" s="21"/>
    </row>
    <row r="261" spans="1:6" ht="15" customHeight="1" x14ac:dyDescent="0.2">
      <c r="A261" s="180" t="s">
        <v>380</v>
      </c>
      <c r="B261" s="194" t="s">
        <v>381</v>
      </c>
      <c r="C261" s="132">
        <f>+[4]BS17A!$D1963</f>
        <v>0</v>
      </c>
      <c r="D261" s="26">
        <f>+[4]BS17A!$U1963</f>
        <v>1106400</v>
      </c>
      <c r="E261" s="97">
        <f>+[4]BS17A!$V1963</f>
        <v>0</v>
      </c>
      <c r="F261" s="21"/>
    </row>
    <row r="262" spans="1:6" ht="15" customHeight="1" x14ac:dyDescent="0.2">
      <c r="A262" s="180" t="s">
        <v>382</v>
      </c>
      <c r="B262" s="194" t="s">
        <v>383</v>
      </c>
      <c r="C262" s="132">
        <f>+[4]BS17A!$D1964</f>
        <v>0</v>
      </c>
      <c r="D262" s="26">
        <f>+[4]BS17A!$U1964</f>
        <v>1137010</v>
      </c>
      <c r="E262" s="97">
        <f>+[4]BS17A!$V1964</f>
        <v>0</v>
      </c>
      <c r="F262" s="21"/>
    </row>
    <row r="263" spans="1:6" ht="15" customHeight="1" x14ac:dyDescent="0.2">
      <c r="A263" s="180" t="s">
        <v>384</v>
      </c>
      <c r="B263" s="194" t="s">
        <v>385</v>
      </c>
      <c r="C263" s="132">
        <f>+[4]BS17A!$D1965</f>
        <v>0</v>
      </c>
      <c r="D263" s="26">
        <f>+[4]BS17A!$U1965</f>
        <v>900260</v>
      </c>
      <c r="E263" s="97">
        <f>+[4]BS17A!$V1965</f>
        <v>0</v>
      </c>
      <c r="F263" s="21"/>
    </row>
    <row r="264" spans="1:6" ht="15" customHeight="1" x14ac:dyDescent="0.2">
      <c r="A264" s="180" t="s">
        <v>386</v>
      </c>
      <c r="B264" s="194" t="s">
        <v>387</v>
      </c>
      <c r="C264" s="132">
        <f>+[4]BS17A!$D1966</f>
        <v>0</v>
      </c>
      <c r="D264" s="26">
        <f>+[4]BS17A!$U1966</f>
        <v>948790</v>
      </c>
      <c r="E264" s="97">
        <f>+[4]BS17A!$V1966</f>
        <v>0</v>
      </c>
      <c r="F264" s="21"/>
    </row>
    <row r="265" spans="1:6" ht="15" customHeight="1" x14ac:dyDescent="0.2">
      <c r="A265" s="180" t="s">
        <v>388</v>
      </c>
      <c r="B265" s="194" t="s">
        <v>389</v>
      </c>
      <c r="C265" s="132">
        <f>+[4]BS17A!$D1967</f>
        <v>0</v>
      </c>
      <c r="D265" s="26">
        <f>+[4]BS17A!$U1967</f>
        <v>374290</v>
      </c>
      <c r="E265" s="97">
        <f>+[4]BS17A!$V1967</f>
        <v>0</v>
      </c>
      <c r="F265" s="21"/>
    </row>
    <row r="266" spans="1:6" ht="15" customHeight="1" x14ac:dyDescent="0.2">
      <c r="A266" s="180" t="s">
        <v>390</v>
      </c>
      <c r="B266" s="194" t="s">
        <v>391</v>
      </c>
      <c r="C266" s="132">
        <f>+[4]BS17A!$D1968</f>
        <v>0</v>
      </c>
      <c r="D266" s="26">
        <f>+[4]BS17A!$U1968</f>
        <v>89640</v>
      </c>
      <c r="E266" s="97">
        <f>+[4]BS17A!$V1968</f>
        <v>0</v>
      </c>
      <c r="F266" s="21"/>
    </row>
    <row r="267" spans="1:6" ht="15" customHeight="1" x14ac:dyDescent="0.2">
      <c r="A267" s="180" t="s">
        <v>392</v>
      </c>
      <c r="B267" s="194" t="s">
        <v>393</v>
      </c>
      <c r="C267" s="132">
        <f>+[4]BS17A!$D1969</f>
        <v>0</v>
      </c>
      <c r="D267" s="26">
        <f>+[4]BS17A!$U1969</f>
        <v>267430</v>
      </c>
      <c r="E267" s="97">
        <f>+[4]BS17A!$V1969</f>
        <v>0</v>
      </c>
      <c r="F267" s="21"/>
    </row>
    <row r="268" spans="1:6" ht="15" customHeight="1" x14ac:dyDescent="0.2">
      <c r="A268" s="180" t="s">
        <v>394</v>
      </c>
      <c r="B268" s="177" t="s">
        <v>395</v>
      </c>
      <c r="C268" s="132">
        <f>+[4]BS17A!$D1970</f>
        <v>0</v>
      </c>
      <c r="D268" s="26">
        <f>+[4]BS17A!$U1970</f>
        <v>75610</v>
      </c>
      <c r="E268" s="97">
        <f>+[4]BS17A!$V1970</f>
        <v>0</v>
      </c>
      <c r="F268" s="21"/>
    </row>
    <row r="269" spans="1:6" ht="15" customHeight="1" x14ac:dyDescent="0.2">
      <c r="A269" s="180" t="s">
        <v>396</v>
      </c>
      <c r="B269" s="177" t="s">
        <v>397</v>
      </c>
      <c r="C269" s="132">
        <f>+[4]BS17A!$D1971</f>
        <v>0</v>
      </c>
      <c r="D269" s="26">
        <f>+[4]BS17A!$U1971</f>
        <v>1299270</v>
      </c>
      <c r="E269" s="97">
        <f>+[4]BS17A!$V1971</f>
        <v>0</v>
      </c>
      <c r="F269" s="21"/>
    </row>
    <row r="270" spans="1:6" ht="15" customHeight="1" x14ac:dyDescent="0.2">
      <c r="A270" s="180" t="s">
        <v>398</v>
      </c>
      <c r="B270" s="177" t="s">
        <v>399</v>
      </c>
      <c r="C270" s="132">
        <f>+[4]BS17A!$D1972</f>
        <v>0</v>
      </c>
      <c r="D270" s="26">
        <f>+[4]BS17A!$U1972</f>
        <v>303800</v>
      </c>
      <c r="E270" s="97">
        <f>+[4]BS17A!$V1972</f>
        <v>0</v>
      </c>
      <c r="F270" s="21"/>
    </row>
    <row r="271" spans="1:6" ht="15" customHeight="1" x14ac:dyDescent="0.2">
      <c r="A271" s="180" t="s">
        <v>400</v>
      </c>
      <c r="B271" s="177" t="s">
        <v>401</v>
      </c>
      <c r="C271" s="132">
        <f>+[4]BS17A!$D1973</f>
        <v>0</v>
      </c>
      <c r="D271" s="26">
        <f>+[4]BS17A!$U1973</f>
        <v>1017740</v>
      </c>
      <c r="E271" s="97">
        <f>+[4]BS17A!$V1973</f>
        <v>0</v>
      </c>
      <c r="F271" s="21"/>
    </row>
    <row r="272" spans="1:6" ht="15" customHeight="1" x14ac:dyDescent="0.2">
      <c r="A272" s="180" t="s">
        <v>402</v>
      </c>
      <c r="B272" s="195" t="s">
        <v>403</v>
      </c>
      <c r="C272" s="132">
        <f>+[4]BS17A!$D1974</f>
        <v>0</v>
      </c>
      <c r="D272" s="26">
        <f>+[4]BS17A!$U1974</f>
        <v>623060</v>
      </c>
      <c r="E272" s="97">
        <f>+[4]BS17A!$V1974</f>
        <v>0</v>
      </c>
      <c r="F272" s="21"/>
    </row>
    <row r="273" spans="1:10" ht="15" customHeight="1" x14ac:dyDescent="0.2">
      <c r="A273" s="181" t="s">
        <v>404</v>
      </c>
      <c r="B273" s="195" t="s">
        <v>405</v>
      </c>
      <c r="C273" s="142">
        <f>+[4]BS17A!$D1975</f>
        <v>0</v>
      </c>
      <c r="D273" s="28">
        <f>+[4]BS17A!$U1975</f>
        <v>508460</v>
      </c>
      <c r="E273" s="120">
        <f>+[4]BS17A!$V1975</f>
        <v>0</v>
      </c>
      <c r="F273" s="21"/>
    </row>
    <row r="274" spans="1:10" ht="15" customHeight="1" x14ac:dyDescent="0.2">
      <c r="A274" s="552" t="s">
        <v>406</v>
      </c>
      <c r="B274" s="553"/>
      <c r="C274" s="553"/>
      <c r="D274" s="553"/>
      <c r="E274" s="554"/>
      <c r="F274" s="21"/>
    </row>
    <row r="275" spans="1:10" ht="15" customHeight="1" x14ac:dyDescent="0.2">
      <c r="A275" s="179" t="s">
        <v>407</v>
      </c>
      <c r="B275" s="188" t="s">
        <v>408</v>
      </c>
      <c r="C275" s="158">
        <f>+[4]BS17A!$D1976</f>
        <v>0</v>
      </c>
      <c r="D275" s="23">
        <f>[4]BS17A!U1976</f>
        <v>274090</v>
      </c>
      <c r="E275" s="121">
        <f>+[4]BS17A!$V1976</f>
        <v>0</v>
      </c>
      <c r="F275" s="21"/>
    </row>
    <row r="276" spans="1:10" ht="15" customHeight="1" x14ac:dyDescent="0.2">
      <c r="A276" s="180" t="s">
        <v>409</v>
      </c>
      <c r="B276" s="177" t="s">
        <v>410</v>
      </c>
      <c r="C276" s="132">
        <f>+[4]BS17A!$D1977</f>
        <v>0</v>
      </c>
      <c r="D276" s="26">
        <f>[4]BS17A!U1977</f>
        <v>159800</v>
      </c>
      <c r="E276" s="97">
        <f>+[4]BS17A!$V1977</f>
        <v>0</v>
      </c>
      <c r="F276" s="21"/>
    </row>
    <row r="277" spans="1:10" ht="15" customHeight="1" x14ac:dyDescent="0.2">
      <c r="A277" s="180" t="s">
        <v>411</v>
      </c>
      <c r="B277" s="177" t="s">
        <v>412</v>
      </c>
      <c r="C277" s="132">
        <f>+[4]BS17A!$D1978</f>
        <v>0</v>
      </c>
      <c r="D277" s="26">
        <f>[4]BS17A!U1978</f>
        <v>386120</v>
      </c>
      <c r="E277" s="97">
        <f>+[4]BS17A!$V1978</f>
        <v>0</v>
      </c>
      <c r="F277" s="21"/>
    </row>
    <row r="278" spans="1:10" ht="15" customHeight="1" x14ac:dyDescent="0.2">
      <c r="A278" s="180" t="s">
        <v>413</v>
      </c>
      <c r="B278" s="177" t="s">
        <v>414</v>
      </c>
      <c r="C278" s="132">
        <f>+[4]BS17A!$D1979</f>
        <v>0</v>
      </c>
      <c r="D278" s="26">
        <f>[4]BS17A!U1979</f>
        <v>400140</v>
      </c>
      <c r="E278" s="97">
        <f>+[4]BS17A!$V1979</f>
        <v>0</v>
      </c>
      <c r="F278" s="21"/>
    </row>
    <row r="279" spans="1:10" ht="15" customHeight="1" x14ac:dyDescent="0.2">
      <c r="A279" s="181" t="s">
        <v>415</v>
      </c>
      <c r="B279" s="189" t="s">
        <v>416</v>
      </c>
      <c r="C279" s="142">
        <f>+[4]BS17A!$D1980</f>
        <v>0</v>
      </c>
      <c r="D279" s="33">
        <f>[4]BS17A!U1980</f>
        <v>250030</v>
      </c>
      <c r="E279" s="102">
        <f>+[4]BS17A!$V1980</f>
        <v>0</v>
      </c>
      <c r="F279" s="122"/>
    </row>
    <row r="280" spans="1:10" ht="15" customHeight="1" x14ac:dyDescent="0.2">
      <c r="A280" s="192" t="s">
        <v>417</v>
      </c>
      <c r="B280" s="190" t="s">
        <v>418</v>
      </c>
      <c r="C280" s="159">
        <f>+[4]BS17A!$D1981</f>
        <v>102</v>
      </c>
      <c r="D280" s="123">
        <f>[4]BS17A!U1981</f>
        <v>34000</v>
      </c>
      <c r="E280" s="119">
        <f>+[4]BS17A!$V1981</f>
        <v>3468000</v>
      </c>
      <c r="F280" s="122"/>
    </row>
    <row r="281" spans="1:10" ht="15" customHeight="1" x14ac:dyDescent="0.2">
      <c r="A281" s="187"/>
      <c r="B281" s="191" t="s">
        <v>419</v>
      </c>
      <c r="C281" s="35">
        <f>SUM(C241:C280)</f>
        <v>102</v>
      </c>
      <c r="D281" s="100"/>
      <c r="E281" s="101">
        <f>SUM(E241:E280)</f>
        <v>3468000</v>
      </c>
      <c r="F281" s="122"/>
    </row>
    <row r="282" spans="1:10" ht="18" customHeight="1" x14ac:dyDescent="0.2">
      <c r="A282" s="114"/>
      <c r="B282" s="21"/>
      <c r="C282" s="21"/>
      <c r="D282" s="114"/>
      <c r="E282" s="114"/>
      <c r="F282" s="21"/>
    </row>
    <row r="283" spans="1:10" ht="18" customHeight="1" x14ac:dyDescent="0.2">
      <c r="A283" s="114"/>
      <c r="B283" s="116"/>
      <c r="C283" s="116"/>
      <c r="D283" s="114"/>
      <c r="E283" s="114"/>
      <c r="F283" s="124"/>
      <c r="G283" s="125"/>
      <c r="J283" s="126"/>
    </row>
    <row r="284" spans="1:10" ht="12.75" customHeight="1" x14ac:dyDescent="0.2">
      <c r="A284" s="557" t="s">
        <v>420</v>
      </c>
      <c r="B284" s="558"/>
      <c r="C284" s="558"/>
      <c r="D284" s="558"/>
      <c r="E284" s="559"/>
      <c r="F284" s="21"/>
    </row>
    <row r="285" spans="1:10" ht="44.25" customHeight="1" x14ac:dyDescent="0.2">
      <c r="A285" s="1" t="s">
        <v>8</v>
      </c>
      <c r="B285" s="1" t="s">
        <v>420</v>
      </c>
      <c r="C285" s="242" t="s">
        <v>341</v>
      </c>
      <c r="D285" s="3" t="s">
        <v>11</v>
      </c>
      <c r="E285" s="244" t="s">
        <v>12</v>
      </c>
      <c r="F285" s="122"/>
    </row>
    <row r="286" spans="1:10" ht="15" customHeight="1" x14ac:dyDescent="0.2">
      <c r="A286" s="179" t="s">
        <v>421</v>
      </c>
      <c r="B286" s="183" t="s">
        <v>422</v>
      </c>
      <c r="C286" s="135">
        <f>+[4]BS17A!$D1983</f>
        <v>6</v>
      </c>
      <c r="D286" s="31">
        <f>+[4]BS17A!$U1983</f>
        <v>6690</v>
      </c>
      <c r="E286" s="96">
        <f>+[4]BS17A!$V1983</f>
        <v>40140</v>
      </c>
      <c r="F286" s="21"/>
    </row>
    <row r="287" spans="1:10" ht="15" customHeight="1" x14ac:dyDescent="0.2">
      <c r="A287" s="180" t="s">
        <v>423</v>
      </c>
      <c r="B287" s="184" t="s">
        <v>424</v>
      </c>
      <c r="C287" s="132">
        <f>+[4]BS17A!$D1984</f>
        <v>0</v>
      </c>
      <c r="D287" s="26">
        <f>+[4]BS17A!$U1984</f>
        <v>3560</v>
      </c>
      <c r="E287" s="97">
        <f>+[4]BS17A!$V1984</f>
        <v>0</v>
      </c>
      <c r="F287" s="21"/>
    </row>
    <row r="288" spans="1:10" ht="15" customHeight="1" x14ac:dyDescent="0.2">
      <c r="A288" s="180" t="s">
        <v>425</v>
      </c>
      <c r="B288" s="184" t="s">
        <v>426</v>
      </c>
      <c r="C288" s="132">
        <f>+[4]BS17A!$D1985</f>
        <v>1</v>
      </c>
      <c r="D288" s="26">
        <f>+[4]BS17A!$U1985</f>
        <v>13430</v>
      </c>
      <c r="E288" s="97">
        <f>+[4]BS17A!$V1985</f>
        <v>13430</v>
      </c>
      <c r="F288" s="21"/>
    </row>
    <row r="289" spans="1:7" ht="15" customHeight="1" x14ac:dyDescent="0.2">
      <c r="A289" s="180" t="s">
        <v>427</v>
      </c>
      <c r="B289" s="184" t="s">
        <v>428</v>
      </c>
      <c r="C289" s="132">
        <f>+[4]BS17A!$D1986</f>
        <v>0</v>
      </c>
      <c r="D289" s="26">
        <f>+[4]BS17A!$U1986</f>
        <v>137660</v>
      </c>
      <c r="E289" s="97">
        <f>+[4]BS17A!$V1986</f>
        <v>0</v>
      </c>
      <c r="F289" s="21"/>
    </row>
    <row r="290" spans="1:7" ht="15" customHeight="1" x14ac:dyDescent="0.2">
      <c r="A290" s="181" t="s">
        <v>429</v>
      </c>
      <c r="B290" s="185" t="s">
        <v>430</v>
      </c>
      <c r="C290" s="142">
        <f>+[4]BS17A!$D1987</f>
        <v>1</v>
      </c>
      <c r="D290" s="33">
        <f>+[4]BS17A!$U1987</f>
        <v>756090</v>
      </c>
      <c r="E290" s="102">
        <f>+[4]BS17A!$V1987</f>
        <v>756090</v>
      </c>
      <c r="F290" s="21"/>
    </row>
    <row r="291" spans="1:7" ht="15" customHeight="1" x14ac:dyDescent="0.2">
      <c r="A291" s="187"/>
      <c r="B291" s="186" t="s">
        <v>431</v>
      </c>
      <c r="C291" s="68">
        <f>SUM(C286:C290)</f>
        <v>8</v>
      </c>
      <c r="D291" s="44"/>
      <c r="E291" s="69">
        <f>SUM(E286:E290)</f>
        <v>809660</v>
      </c>
      <c r="F291" s="21"/>
    </row>
    <row r="292" spans="1:7" ht="18" customHeight="1" x14ac:dyDescent="0.2">
      <c r="A292" s="114"/>
      <c r="B292" s="116"/>
      <c r="C292" s="114"/>
      <c r="D292" s="114"/>
      <c r="E292" s="114"/>
      <c r="F292" s="21"/>
    </row>
    <row r="293" spans="1:7" ht="18" customHeight="1" x14ac:dyDescent="0.2">
      <c r="A293" s="114"/>
      <c r="B293" s="116"/>
      <c r="C293" s="114"/>
      <c r="D293" s="114"/>
      <c r="E293" s="114"/>
      <c r="F293" s="127"/>
      <c r="G293" s="22"/>
    </row>
    <row r="294" spans="1:7" ht="12.75" x14ac:dyDescent="0.2">
      <c r="A294" s="552" t="s">
        <v>432</v>
      </c>
      <c r="B294" s="553"/>
      <c r="C294" s="553"/>
      <c r="D294" s="553"/>
      <c r="E294" s="554"/>
      <c r="F294" s="128"/>
      <c r="G294" s="22"/>
    </row>
    <row r="295" spans="1:7" ht="42.75" customHeight="1" x14ac:dyDescent="0.2">
      <c r="A295" s="1" t="s">
        <v>8</v>
      </c>
      <c r="B295" s="154" t="s">
        <v>432</v>
      </c>
      <c r="C295" s="8" t="s">
        <v>433</v>
      </c>
      <c r="D295" s="3" t="s">
        <v>11</v>
      </c>
      <c r="E295" s="244" t="s">
        <v>12</v>
      </c>
      <c r="F295" s="128"/>
      <c r="G295" s="22"/>
    </row>
    <row r="296" spans="1:7" ht="15" customHeight="1" x14ac:dyDescent="0.2">
      <c r="A296" s="179" t="s">
        <v>434</v>
      </c>
      <c r="B296" s="175" t="s">
        <v>435</v>
      </c>
      <c r="C296" s="135">
        <f>+[4]BS17A!$D1863</f>
        <v>218</v>
      </c>
      <c r="D296" s="31">
        <f>+[4]BS17A!$U1863</f>
        <v>17890</v>
      </c>
      <c r="E296" s="96">
        <f>+[4]BS17A!$V1863</f>
        <v>3900020</v>
      </c>
      <c r="F296" s="21"/>
    </row>
    <row r="297" spans="1:7" ht="15" customHeight="1" x14ac:dyDescent="0.2">
      <c r="A297" s="180" t="s">
        <v>436</v>
      </c>
      <c r="B297" s="176" t="s">
        <v>437</v>
      </c>
      <c r="C297" s="132">
        <f>+[4]BS17A!$D1864</f>
        <v>190</v>
      </c>
      <c r="D297" s="26">
        <f>+[4]BS17A!$U1864</f>
        <v>56280</v>
      </c>
      <c r="E297" s="97">
        <f>+[4]BS17A!$V1864</f>
        <v>10693200</v>
      </c>
      <c r="F297" s="21"/>
    </row>
    <row r="298" spans="1:7" ht="15" customHeight="1" x14ac:dyDescent="0.2">
      <c r="A298" s="180" t="s">
        <v>438</v>
      </c>
      <c r="B298" s="176" t="s">
        <v>439</v>
      </c>
      <c r="C298" s="132">
        <f>+[4]BS17A!$D1865</f>
        <v>0</v>
      </c>
      <c r="D298" s="26">
        <f>+[4]BS17A!$U1865</f>
        <v>69770</v>
      </c>
      <c r="E298" s="97">
        <f>+[4]BS17A!$V1865</f>
        <v>0</v>
      </c>
      <c r="F298" s="21"/>
    </row>
    <row r="299" spans="1:7" ht="15" customHeight="1" x14ac:dyDescent="0.2">
      <c r="A299" s="180" t="s">
        <v>440</v>
      </c>
      <c r="B299" s="176" t="s">
        <v>441</v>
      </c>
      <c r="C299" s="132">
        <f>+[4]BS17A!$D1866</f>
        <v>149</v>
      </c>
      <c r="D299" s="26">
        <f>+[4]BS17A!$U1866</f>
        <v>2450</v>
      </c>
      <c r="E299" s="97">
        <f>+[4]BS17A!$V1866</f>
        <v>365050</v>
      </c>
      <c r="F299" s="21"/>
    </row>
    <row r="300" spans="1:7" ht="15" customHeight="1" x14ac:dyDescent="0.2">
      <c r="A300" s="180" t="s">
        <v>442</v>
      </c>
      <c r="B300" s="176" t="s">
        <v>443</v>
      </c>
      <c r="C300" s="132">
        <f>+[4]BS17A!$D1867</f>
        <v>0</v>
      </c>
      <c r="D300" s="26">
        <f>+[4]BS17A!$U1867</f>
        <v>70</v>
      </c>
      <c r="E300" s="97">
        <f>+[4]BS17A!$V1867</f>
        <v>0</v>
      </c>
      <c r="F300" s="21"/>
    </row>
    <row r="301" spans="1:7" ht="15" customHeight="1" x14ac:dyDescent="0.2">
      <c r="A301" s="180" t="s">
        <v>444</v>
      </c>
      <c r="B301" s="177" t="s">
        <v>445</v>
      </c>
      <c r="C301" s="132">
        <f>+[4]BS17A!$D1868</f>
        <v>0</v>
      </c>
      <c r="D301" s="26">
        <f>+[4]BS17A!$U1868</f>
        <v>148120</v>
      </c>
      <c r="E301" s="97">
        <f>+[4]BS17A!$V1868</f>
        <v>0</v>
      </c>
      <c r="F301" s="21"/>
    </row>
    <row r="302" spans="1:7" ht="15" customHeight="1" x14ac:dyDescent="0.2">
      <c r="A302" s="181" t="s">
        <v>446</v>
      </c>
      <c r="B302" s="178" t="s">
        <v>447</v>
      </c>
      <c r="C302" s="142">
        <f>+[4]BS17A!$D1869</f>
        <v>0</v>
      </c>
      <c r="D302" s="33">
        <f>+[4]BS17A!$U1869</f>
        <v>10070</v>
      </c>
      <c r="E302" s="102">
        <f>+[4]BS17A!$V1869</f>
        <v>0</v>
      </c>
      <c r="F302" s="21"/>
    </row>
    <row r="303" spans="1:7" ht="15" customHeight="1" x14ac:dyDescent="0.2">
      <c r="A303" s="182"/>
      <c r="B303" s="575" t="s">
        <v>448</v>
      </c>
      <c r="C303" s="576"/>
      <c r="D303" s="118"/>
      <c r="E303" s="129">
        <f>SUM(E296:E302)</f>
        <v>14958270</v>
      </c>
      <c r="F303" s="21"/>
    </row>
    <row r="304" spans="1:7" ht="12.75" x14ac:dyDescent="0.2">
      <c r="A304" s="21"/>
      <c r="B304" s="21"/>
      <c r="C304" s="21"/>
      <c r="D304" s="21"/>
      <c r="E304" s="21"/>
      <c r="F304" s="111"/>
      <c r="G304" s="113"/>
    </row>
    <row r="305" spans="1:7" ht="12.75" x14ac:dyDescent="0.2">
      <c r="A305" s="21"/>
      <c r="B305" s="21"/>
      <c r="C305" s="21"/>
      <c r="D305" s="21"/>
      <c r="E305" s="21"/>
      <c r="F305" s="111"/>
      <c r="G305" s="113"/>
    </row>
    <row r="306" spans="1:7" ht="12.75" x14ac:dyDescent="0.2">
      <c r="A306" s="567" t="s">
        <v>449</v>
      </c>
      <c r="B306" s="568"/>
      <c r="C306" s="568"/>
      <c r="D306" s="568"/>
      <c r="E306" s="569"/>
      <c r="F306" s="111"/>
      <c r="G306" s="113"/>
    </row>
    <row r="307" spans="1:7" ht="12.75" x14ac:dyDescent="0.2">
      <c r="A307" s="63"/>
      <c r="B307" s="572" t="s">
        <v>450</v>
      </c>
      <c r="C307" s="573"/>
      <c r="D307" s="574"/>
      <c r="E307" s="130">
        <f>+E232+E237+E281+E291+E303</f>
        <v>32030430</v>
      </c>
      <c r="F307" s="21"/>
    </row>
    <row r="308" spans="1:7" ht="12.75" x14ac:dyDescent="0.2">
      <c r="A308" s="21"/>
      <c r="B308" s="21"/>
      <c r="C308" s="21"/>
      <c r="D308" s="21"/>
      <c r="E308" s="21"/>
      <c r="F308" s="111"/>
      <c r="G308" s="113"/>
    </row>
    <row r="309" spans="1:7" ht="12.75" x14ac:dyDescent="0.2">
      <c r="A309" s="21"/>
      <c r="B309" s="21"/>
      <c r="C309" s="21"/>
      <c r="D309" s="21"/>
      <c r="E309" s="21"/>
      <c r="F309" s="111"/>
      <c r="G309" s="113"/>
    </row>
    <row r="310" spans="1:7" ht="12.75" x14ac:dyDescent="0.2">
      <c r="A310" s="567" t="s">
        <v>451</v>
      </c>
      <c r="B310" s="568"/>
      <c r="C310" s="568"/>
      <c r="D310" s="568"/>
      <c r="E310" s="569"/>
      <c r="F310" s="111"/>
      <c r="G310" s="113"/>
    </row>
    <row r="311" spans="1:7" ht="25.5" x14ac:dyDescent="0.2">
      <c r="A311" s="552" t="s">
        <v>452</v>
      </c>
      <c r="B311" s="553"/>
      <c r="C311" s="553"/>
      <c r="D311" s="554"/>
      <c r="E311" s="1" t="s">
        <v>12</v>
      </c>
      <c r="F311" s="111"/>
      <c r="G311" s="113"/>
    </row>
    <row r="312" spans="1:7" ht="15" customHeight="1" x14ac:dyDescent="0.2">
      <c r="A312" s="63"/>
      <c r="B312" s="572" t="s">
        <v>453</v>
      </c>
      <c r="C312" s="573"/>
      <c r="D312" s="574"/>
      <c r="E312" s="130">
        <f>+E50+E76+E84+F109+E116+C121+E148+E155+E168+E204+E218+C225+E307</f>
        <v>734913490</v>
      </c>
      <c r="F312" s="111"/>
      <c r="G312" s="113"/>
    </row>
    <row r="313" spans="1:7" ht="18" customHeight="1" x14ac:dyDescent="0.2">
      <c r="A313" s="21"/>
      <c r="B313" s="21"/>
      <c r="C313" s="21"/>
      <c r="D313" s="21"/>
      <c r="E313" s="21"/>
      <c r="F313" s="18"/>
    </row>
    <row r="314" spans="1:7" ht="18" customHeight="1" x14ac:dyDescent="0.2">
      <c r="A314" s="21"/>
      <c r="B314" s="21"/>
      <c r="C314" s="21"/>
      <c r="D314" s="21"/>
      <c r="E314" s="21"/>
      <c r="F314" s="18"/>
    </row>
    <row r="315" spans="1:7" ht="18" customHeight="1" x14ac:dyDescent="0.2">
      <c r="A315" s="567" t="s">
        <v>454</v>
      </c>
      <c r="B315" s="568"/>
      <c r="C315" s="569"/>
      <c r="D315" s="21"/>
      <c r="E315" s="21"/>
      <c r="F315" s="18"/>
    </row>
    <row r="316" spans="1:7" ht="18" customHeight="1" x14ac:dyDescent="0.2">
      <c r="A316" s="552" t="s">
        <v>455</v>
      </c>
      <c r="B316" s="553"/>
      <c r="C316" s="554"/>
      <c r="D316" s="21"/>
      <c r="E316" s="21"/>
      <c r="F316" s="18"/>
    </row>
    <row r="317" spans="1:7" ht="30.75" customHeight="1" x14ac:dyDescent="0.2">
      <c r="A317" s="567" t="s">
        <v>456</v>
      </c>
      <c r="B317" s="568"/>
      <c r="C317" s="1" t="s">
        <v>457</v>
      </c>
      <c r="D317" s="21"/>
      <c r="E317" s="21"/>
      <c r="F317" s="21"/>
    </row>
    <row r="318" spans="1:7" ht="15" customHeight="1" x14ac:dyDescent="0.2">
      <c r="A318" s="131" t="s">
        <v>458</v>
      </c>
      <c r="B318" s="144"/>
      <c r="C318" s="150"/>
      <c r="D318" s="21"/>
      <c r="E318" s="21"/>
      <c r="F318" s="21"/>
    </row>
    <row r="319" spans="1:7" ht="15" customHeight="1" x14ac:dyDescent="0.2">
      <c r="A319" s="132" t="s">
        <v>459</v>
      </c>
      <c r="B319" s="145"/>
      <c r="C319" s="151"/>
      <c r="D319" s="21"/>
      <c r="E319" s="21"/>
      <c r="F319" s="21"/>
    </row>
    <row r="320" spans="1:7" ht="15" customHeight="1" x14ac:dyDescent="0.2">
      <c r="A320" s="132" t="s">
        <v>460</v>
      </c>
      <c r="B320" s="145"/>
      <c r="C320" s="151"/>
      <c r="D320" s="21"/>
      <c r="E320" s="21"/>
      <c r="F320" s="21"/>
    </row>
    <row r="321" spans="1:6" ht="15" customHeight="1" x14ac:dyDescent="0.2">
      <c r="A321" s="133" t="s">
        <v>461</v>
      </c>
      <c r="B321" s="145"/>
      <c r="C321" s="151"/>
      <c r="D321" s="21"/>
      <c r="E321" s="21"/>
      <c r="F321" s="21"/>
    </row>
    <row r="322" spans="1:6" ht="15" customHeight="1" x14ac:dyDescent="0.2">
      <c r="A322" s="134" t="s">
        <v>462</v>
      </c>
      <c r="B322" s="146"/>
      <c r="C322" s="152">
        <f>SUM(C318:C321)</f>
        <v>0</v>
      </c>
      <c r="D322" s="21"/>
      <c r="E322" s="21"/>
      <c r="F322" s="21"/>
    </row>
    <row r="323" spans="1:6" ht="15" customHeight="1" x14ac:dyDescent="0.2">
      <c r="A323" s="135" t="s">
        <v>463</v>
      </c>
      <c r="B323" s="147"/>
      <c r="C323" s="150">
        <v>5457548</v>
      </c>
      <c r="D323" s="21"/>
      <c r="E323" s="21"/>
      <c r="F323" s="21"/>
    </row>
    <row r="324" spans="1:6" ht="15" customHeight="1" x14ac:dyDescent="0.2">
      <c r="A324" s="136" t="s">
        <v>464</v>
      </c>
      <c r="B324" s="148"/>
      <c r="C324" s="151"/>
      <c r="D324" s="21"/>
      <c r="E324" s="21"/>
      <c r="F324" s="21"/>
    </row>
    <row r="325" spans="1:6" ht="15" customHeight="1" x14ac:dyDescent="0.2">
      <c r="A325" s="132" t="s">
        <v>465</v>
      </c>
      <c r="B325" s="148"/>
      <c r="C325" s="151"/>
      <c r="D325" s="21"/>
      <c r="E325" s="21"/>
      <c r="F325" s="21"/>
    </row>
    <row r="326" spans="1:6" ht="15" customHeight="1" x14ac:dyDescent="0.2">
      <c r="A326" s="132" t="s">
        <v>466</v>
      </c>
      <c r="B326" s="148"/>
      <c r="C326" s="151"/>
      <c r="D326" s="21"/>
      <c r="E326" s="21"/>
      <c r="F326" s="21"/>
    </row>
    <row r="327" spans="1:6" ht="15" customHeight="1" x14ac:dyDescent="0.2">
      <c r="A327" s="136" t="s">
        <v>467</v>
      </c>
      <c r="B327" s="148"/>
      <c r="C327" s="151"/>
      <c r="D327" s="21"/>
      <c r="E327" s="21"/>
      <c r="F327" s="21"/>
    </row>
    <row r="328" spans="1:6" ht="15" customHeight="1" x14ac:dyDescent="0.2">
      <c r="A328" s="136" t="s">
        <v>468</v>
      </c>
      <c r="B328" s="148"/>
      <c r="C328" s="151"/>
      <c r="D328" s="21"/>
      <c r="E328" s="21"/>
      <c r="F328" s="21"/>
    </row>
    <row r="329" spans="1:6" ht="15" customHeight="1" x14ac:dyDescent="0.2">
      <c r="A329" s="137" t="s">
        <v>469</v>
      </c>
      <c r="B329" s="149"/>
      <c r="C329" s="153">
        <v>112268911</v>
      </c>
      <c r="D329" s="21"/>
      <c r="E329" s="21"/>
      <c r="F329" s="21"/>
    </row>
    <row r="330" spans="1:6" ht="15" customHeight="1" x14ac:dyDescent="0.2">
      <c r="A330" s="35"/>
      <c r="B330" s="143" t="s">
        <v>470</v>
      </c>
      <c r="C330" s="106">
        <f>SUM(C322:C329)</f>
        <v>117726459</v>
      </c>
      <c r="D330" s="21"/>
      <c r="E330" s="21"/>
      <c r="F330" s="21"/>
    </row>
    <row r="331" spans="1:6" ht="12.75" x14ac:dyDescent="0.2">
      <c r="A331" s="21"/>
      <c r="B331" s="21"/>
      <c r="C331" s="21"/>
      <c r="D331" s="21"/>
      <c r="E331" s="21"/>
      <c r="F331" s="18"/>
    </row>
    <row r="332" spans="1:6" ht="12.75" x14ac:dyDescent="0.2">
      <c r="A332" s="21"/>
      <c r="B332" s="21"/>
      <c r="C332" s="21"/>
      <c r="D332" s="21"/>
      <c r="E332" s="21"/>
      <c r="F332" s="18"/>
    </row>
    <row r="333" spans="1:6" ht="12.75" x14ac:dyDescent="0.2">
      <c r="A333" s="21"/>
      <c r="B333" s="21"/>
      <c r="C333" s="21"/>
      <c r="D333" s="21"/>
      <c r="E333" s="21"/>
      <c r="F333" s="18"/>
    </row>
    <row r="334" spans="1:6" ht="12.75" x14ac:dyDescent="0.2">
      <c r="A334" s="114"/>
      <c r="B334" s="114"/>
      <c r="C334" s="114"/>
      <c r="D334" s="114"/>
      <c r="E334" s="114"/>
      <c r="F334" s="127"/>
    </row>
    <row r="335" spans="1:6" ht="12.75" x14ac:dyDescent="0.2">
      <c r="A335" s="114"/>
      <c r="B335" s="114"/>
      <c r="C335" s="114"/>
      <c r="D335" s="114"/>
      <c r="E335" s="541" t="str">
        <f>[4]NOMBRE!B12</f>
        <v xml:space="preserve">SRA. MARIA INES NUNEZ GONZALEZ </v>
      </c>
      <c r="F335" s="541"/>
    </row>
    <row r="336" spans="1:6" ht="12.75" x14ac:dyDescent="0.2">
      <c r="A336" s="114"/>
      <c r="B336" s="114"/>
      <c r="C336" s="114"/>
      <c r="D336" s="116"/>
      <c r="E336" s="542" t="str">
        <f>[4]NOMBRE!A12</f>
        <v>Jefe de Estadisticas</v>
      </c>
      <c r="F336" s="542"/>
    </row>
    <row r="337" spans="1:6" ht="12.75" x14ac:dyDescent="0.2">
      <c r="A337" s="114"/>
      <c r="B337" s="114"/>
      <c r="C337" s="114"/>
      <c r="D337" s="114"/>
      <c r="E337" s="241"/>
      <c r="F337" s="6"/>
    </row>
    <row r="338" spans="1:6" ht="12.75" x14ac:dyDescent="0.2">
      <c r="A338" s="114"/>
      <c r="B338" s="114"/>
      <c r="C338" s="114"/>
      <c r="D338" s="114"/>
      <c r="E338" s="6"/>
      <c r="F338" s="6"/>
    </row>
    <row r="339" spans="1:6" ht="12.75" x14ac:dyDescent="0.2">
      <c r="A339" s="114"/>
      <c r="B339" s="114"/>
      <c r="C339" s="114"/>
      <c r="D339" s="114"/>
      <c r="E339" s="6"/>
      <c r="F339" s="6"/>
    </row>
    <row r="340" spans="1:6" ht="12.75" x14ac:dyDescent="0.2">
      <c r="A340" s="114"/>
      <c r="B340" s="114"/>
      <c r="C340" s="114"/>
      <c r="D340" s="114"/>
      <c r="E340" s="6"/>
      <c r="F340" s="6"/>
    </row>
    <row r="341" spans="1:6" ht="12.75" x14ac:dyDescent="0.2">
      <c r="A341" s="114"/>
      <c r="B341" s="114"/>
      <c r="C341" s="114"/>
      <c r="D341" s="114"/>
      <c r="E341" s="6"/>
      <c r="F341" s="6"/>
    </row>
    <row r="342" spans="1:6" ht="12.75" x14ac:dyDescent="0.2">
      <c r="A342" s="114"/>
      <c r="B342" s="114"/>
      <c r="C342" s="114"/>
      <c r="D342" s="114"/>
      <c r="E342" s="6"/>
      <c r="F342" s="6"/>
    </row>
    <row r="343" spans="1:6" ht="12.75" x14ac:dyDescent="0.2">
      <c r="A343" s="114"/>
      <c r="B343" s="114"/>
      <c r="C343" s="114"/>
      <c r="D343" s="114"/>
      <c r="E343" s="6"/>
      <c r="F343" s="6"/>
    </row>
    <row r="344" spans="1:6" ht="12.75" x14ac:dyDescent="0.2">
      <c r="A344" s="114"/>
      <c r="B344" s="114"/>
      <c r="C344" s="114"/>
      <c r="D344" s="114"/>
      <c r="E344" s="541" t="str">
        <f>[4]NOMBRE!B11</f>
        <v>DR. FRANCISCO MARTINEZ CABALLA</v>
      </c>
      <c r="F344" s="541"/>
    </row>
    <row r="345" spans="1:6" ht="22.5" customHeight="1" x14ac:dyDescent="0.2">
      <c r="A345" s="114"/>
      <c r="B345" s="114"/>
      <c r="C345" s="114"/>
      <c r="D345" s="127"/>
      <c r="E345" s="542" t="str">
        <f>CONCATENATE("Director ",[4]NOMBRE!B1)</f>
        <v xml:space="preserve">Director </v>
      </c>
      <c r="F345" s="542"/>
    </row>
    <row r="346" spans="1:6" ht="12.75" x14ac:dyDescent="0.2">
      <c r="A346" s="114"/>
      <c r="B346" s="114"/>
      <c r="C346" s="114"/>
      <c r="D346" s="138"/>
      <c r="E346" s="114"/>
      <c r="F346" s="127"/>
    </row>
  </sheetData>
  <mergeCells count="49">
    <mergeCell ref="A239:E239"/>
    <mergeCell ref="A235:E235"/>
    <mergeCell ref="C8:E8"/>
    <mergeCell ref="A46:E46"/>
    <mergeCell ref="A53:E53"/>
    <mergeCell ref="A88:A89"/>
    <mergeCell ref="B88:B89"/>
    <mergeCell ref="C88:F88"/>
    <mergeCell ref="A87:F87"/>
    <mergeCell ref="A306:E306"/>
    <mergeCell ref="B307:D307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274:E274"/>
    <mergeCell ref="A284:E284"/>
    <mergeCell ref="A294:E294"/>
    <mergeCell ref="B303:C303"/>
    <mergeCell ref="A255:E255"/>
    <mergeCell ref="A228:E228"/>
    <mergeCell ref="C1:E1"/>
    <mergeCell ref="C2:E2"/>
    <mergeCell ref="C3:E3"/>
    <mergeCell ref="C4:E4"/>
    <mergeCell ref="A79:E79"/>
    <mergeCell ref="A27:E27"/>
    <mergeCell ref="A7:B7"/>
    <mergeCell ref="C5:E5"/>
    <mergeCell ref="A11:E11"/>
    <mergeCell ref="A13:E13"/>
    <mergeCell ref="A38:E38"/>
    <mergeCell ref="A41:E41"/>
    <mergeCell ref="C6:E6"/>
    <mergeCell ref="C7:E7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0" zoomScaleNormal="70" workbookViewId="0">
      <selection activeCell="C21" sqref="C21"/>
    </sheetView>
  </sheetViews>
  <sheetFormatPr baseColWidth="10" defaultRowHeight="10.5" x14ac:dyDescent="0.15"/>
  <cols>
    <col min="1" max="1" width="20.28515625" style="225" customWidth="1"/>
    <col min="2" max="2" width="83.140625" style="225" customWidth="1"/>
    <col min="3" max="5" width="21.42578125" style="225" customWidth="1"/>
    <col min="6" max="6" width="19.5703125" style="226" customWidth="1"/>
    <col min="7" max="7" width="2.42578125" style="225" customWidth="1"/>
    <col min="8" max="9" width="5.140625" style="225" customWidth="1"/>
    <col min="10" max="256" width="11.42578125" style="225"/>
    <col min="257" max="257" width="20.28515625" style="225" customWidth="1"/>
    <col min="258" max="258" width="83.140625" style="225" customWidth="1"/>
    <col min="259" max="261" width="21.42578125" style="225" customWidth="1"/>
    <col min="262" max="262" width="19.5703125" style="225" customWidth="1"/>
    <col min="263" max="263" width="2.42578125" style="225" customWidth="1"/>
    <col min="264" max="265" width="5.140625" style="225" customWidth="1"/>
    <col min="266" max="512" width="11.42578125" style="225"/>
    <col min="513" max="513" width="20.28515625" style="225" customWidth="1"/>
    <col min="514" max="514" width="83.140625" style="225" customWidth="1"/>
    <col min="515" max="517" width="21.42578125" style="225" customWidth="1"/>
    <col min="518" max="518" width="19.5703125" style="225" customWidth="1"/>
    <col min="519" max="519" width="2.42578125" style="225" customWidth="1"/>
    <col min="520" max="521" width="5.140625" style="225" customWidth="1"/>
    <col min="522" max="768" width="11.42578125" style="225"/>
    <col min="769" max="769" width="20.28515625" style="225" customWidth="1"/>
    <col min="770" max="770" width="83.140625" style="225" customWidth="1"/>
    <col min="771" max="773" width="21.42578125" style="225" customWidth="1"/>
    <col min="774" max="774" width="19.5703125" style="225" customWidth="1"/>
    <col min="775" max="775" width="2.42578125" style="225" customWidth="1"/>
    <col min="776" max="777" width="5.140625" style="225" customWidth="1"/>
    <col min="778" max="1024" width="11.42578125" style="225"/>
    <col min="1025" max="1025" width="20.28515625" style="225" customWidth="1"/>
    <col min="1026" max="1026" width="83.140625" style="225" customWidth="1"/>
    <col min="1027" max="1029" width="21.42578125" style="225" customWidth="1"/>
    <col min="1030" max="1030" width="19.5703125" style="225" customWidth="1"/>
    <col min="1031" max="1031" width="2.42578125" style="225" customWidth="1"/>
    <col min="1032" max="1033" width="5.140625" style="225" customWidth="1"/>
    <col min="1034" max="1280" width="11.42578125" style="225"/>
    <col min="1281" max="1281" width="20.28515625" style="225" customWidth="1"/>
    <col min="1282" max="1282" width="83.140625" style="225" customWidth="1"/>
    <col min="1283" max="1285" width="21.42578125" style="225" customWidth="1"/>
    <col min="1286" max="1286" width="19.5703125" style="225" customWidth="1"/>
    <col min="1287" max="1287" width="2.42578125" style="225" customWidth="1"/>
    <col min="1288" max="1289" width="5.140625" style="225" customWidth="1"/>
    <col min="1290" max="1536" width="11.42578125" style="225"/>
    <col min="1537" max="1537" width="20.28515625" style="225" customWidth="1"/>
    <col min="1538" max="1538" width="83.140625" style="225" customWidth="1"/>
    <col min="1539" max="1541" width="21.42578125" style="225" customWidth="1"/>
    <col min="1542" max="1542" width="19.5703125" style="225" customWidth="1"/>
    <col min="1543" max="1543" width="2.42578125" style="225" customWidth="1"/>
    <col min="1544" max="1545" width="5.140625" style="225" customWidth="1"/>
    <col min="1546" max="1792" width="11.42578125" style="225"/>
    <col min="1793" max="1793" width="20.28515625" style="225" customWidth="1"/>
    <col min="1794" max="1794" width="83.140625" style="225" customWidth="1"/>
    <col min="1795" max="1797" width="21.42578125" style="225" customWidth="1"/>
    <col min="1798" max="1798" width="19.5703125" style="225" customWidth="1"/>
    <col min="1799" max="1799" width="2.42578125" style="225" customWidth="1"/>
    <col min="1800" max="1801" width="5.140625" style="225" customWidth="1"/>
    <col min="1802" max="2048" width="11.42578125" style="225"/>
    <col min="2049" max="2049" width="20.28515625" style="225" customWidth="1"/>
    <col min="2050" max="2050" width="83.140625" style="225" customWidth="1"/>
    <col min="2051" max="2053" width="21.42578125" style="225" customWidth="1"/>
    <col min="2054" max="2054" width="19.5703125" style="225" customWidth="1"/>
    <col min="2055" max="2055" width="2.42578125" style="225" customWidth="1"/>
    <col min="2056" max="2057" width="5.140625" style="225" customWidth="1"/>
    <col min="2058" max="2304" width="11.42578125" style="225"/>
    <col min="2305" max="2305" width="20.28515625" style="225" customWidth="1"/>
    <col min="2306" max="2306" width="83.140625" style="225" customWidth="1"/>
    <col min="2307" max="2309" width="21.42578125" style="225" customWidth="1"/>
    <col min="2310" max="2310" width="19.5703125" style="225" customWidth="1"/>
    <col min="2311" max="2311" width="2.42578125" style="225" customWidth="1"/>
    <col min="2312" max="2313" width="5.140625" style="225" customWidth="1"/>
    <col min="2314" max="2560" width="11.42578125" style="225"/>
    <col min="2561" max="2561" width="20.28515625" style="225" customWidth="1"/>
    <col min="2562" max="2562" width="83.140625" style="225" customWidth="1"/>
    <col min="2563" max="2565" width="21.42578125" style="225" customWidth="1"/>
    <col min="2566" max="2566" width="19.5703125" style="225" customWidth="1"/>
    <col min="2567" max="2567" width="2.42578125" style="225" customWidth="1"/>
    <col min="2568" max="2569" width="5.140625" style="225" customWidth="1"/>
    <col min="2570" max="2816" width="11.42578125" style="225"/>
    <col min="2817" max="2817" width="20.28515625" style="225" customWidth="1"/>
    <col min="2818" max="2818" width="83.140625" style="225" customWidth="1"/>
    <col min="2819" max="2821" width="21.42578125" style="225" customWidth="1"/>
    <col min="2822" max="2822" width="19.5703125" style="225" customWidth="1"/>
    <col min="2823" max="2823" width="2.42578125" style="225" customWidth="1"/>
    <col min="2824" max="2825" width="5.140625" style="225" customWidth="1"/>
    <col min="2826" max="3072" width="11.42578125" style="225"/>
    <col min="3073" max="3073" width="20.28515625" style="225" customWidth="1"/>
    <col min="3074" max="3074" width="83.140625" style="225" customWidth="1"/>
    <col min="3075" max="3077" width="21.42578125" style="225" customWidth="1"/>
    <col min="3078" max="3078" width="19.5703125" style="225" customWidth="1"/>
    <col min="3079" max="3079" width="2.42578125" style="225" customWidth="1"/>
    <col min="3080" max="3081" width="5.140625" style="225" customWidth="1"/>
    <col min="3082" max="3328" width="11.42578125" style="225"/>
    <col min="3329" max="3329" width="20.28515625" style="225" customWidth="1"/>
    <col min="3330" max="3330" width="83.140625" style="225" customWidth="1"/>
    <col min="3331" max="3333" width="21.42578125" style="225" customWidth="1"/>
    <col min="3334" max="3334" width="19.5703125" style="225" customWidth="1"/>
    <col min="3335" max="3335" width="2.42578125" style="225" customWidth="1"/>
    <col min="3336" max="3337" width="5.140625" style="225" customWidth="1"/>
    <col min="3338" max="3584" width="11.42578125" style="225"/>
    <col min="3585" max="3585" width="20.28515625" style="225" customWidth="1"/>
    <col min="3586" max="3586" width="83.140625" style="225" customWidth="1"/>
    <col min="3587" max="3589" width="21.42578125" style="225" customWidth="1"/>
    <col min="3590" max="3590" width="19.5703125" style="225" customWidth="1"/>
    <col min="3591" max="3591" width="2.42578125" style="225" customWidth="1"/>
    <col min="3592" max="3593" width="5.140625" style="225" customWidth="1"/>
    <col min="3594" max="3840" width="11.42578125" style="225"/>
    <col min="3841" max="3841" width="20.28515625" style="225" customWidth="1"/>
    <col min="3842" max="3842" width="83.140625" style="225" customWidth="1"/>
    <col min="3843" max="3845" width="21.42578125" style="225" customWidth="1"/>
    <col min="3846" max="3846" width="19.5703125" style="225" customWidth="1"/>
    <col min="3847" max="3847" width="2.42578125" style="225" customWidth="1"/>
    <col min="3848" max="3849" width="5.140625" style="225" customWidth="1"/>
    <col min="3850" max="4096" width="11.42578125" style="225"/>
    <col min="4097" max="4097" width="20.28515625" style="225" customWidth="1"/>
    <col min="4098" max="4098" width="83.140625" style="225" customWidth="1"/>
    <col min="4099" max="4101" width="21.42578125" style="225" customWidth="1"/>
    <col min="4102" max="4102" width="19.5703125" style="225" customWidth="1"/>
    <col min="4103" max="4103" width="2.42578125" style="225" customWidth="1"/>
    <col min="4104" max="4105" width="5.140625" style="225" customWidth="1"/>
    <col min="4106" max="4352" width="11.42578125" style="225"/>
    <col min="4353" max="4353" width="20.28515625" style="225" customWidth="1"/>
    <col min="4354" max="4354" width="83.140625" style="225" customWidth="1"/>
    <col min="4355" max="4357" width="21.42578125" style="225" customWidth="1"/>
    <col min="4358" max="4358" width="19.5703125" style="225" customWidth="1"/>
    <col min="4359" max="4359" width="2.42578125" style="225" customWidth="1"/>
    <col min="4360" max="4361" width="5.140625" style="225" customWidth="1"/>
    <col min="4362" max="4608" width="11.42578125" style="225"/>
    <col min="4609" max="4609" width="20.28515625" style="225" customWidth="1"/>
    <col min="4610" max="4610" width="83.140625" style="225" customWidth="1"/>
    <col min="4611" max="4613" width="21.42578125" style="225" customWidth="1"/>
    <col min="4614" max="4614" width="19.5703125" style="225" customWidth="1"/>
    <col min="4615" max="4615" width="2.42578125" style="225" customWidth="1"/>
    <col min="4616" max="4617" width="5.140625" style="225" customWidth="1"/>
    <col min="4618" max="4864" width="11.42578125" style="225"/>
    <col min="4865" max="4865" width="20.28515625" style="225" customWidth="1"/>
    <col min="4866" max="4866" width="83.140625" style="225" customWidth="1"/>
    <col min="4867" max="4869" width="21.42578125" style="225" customWidth="1"/>
    <col min="4870" max="4870" width="19.5703125" style="225" customWidth="1"/>
    <col min="4871" max="4871" width="2.42578125" style="225" customWidth="1"/>
    <col min="4872" max="4873" width="5.140625" style="225" customWidth="1"/>
    <col min="4874" max="5120" width="11.42578125" style="225"/>
    <col min="5121" max="5121" width="20.28515625" style="225" customWidth="1"/>
    <col min="5122" max="5122" width="83.140625" style="225" customWidth="1"/>
    <col min="5123" max="5125" width="21.42578125" style="225" customWidth="1"/>
    <col min="5126" max="5126" width="19.5703125" style="225" customWidth="1"/>
    <col min="5127" max="5127" width="2.42578125" style="225" customWidth="1"/>
    <col min="5128" max="5129" width="5.140625" style="225" customWidth="1"/>
    <col min="5130" max="5376" width="11.42578125" style="225"/>
    <col min="5377" max="5377" width="20.28515625" style="225" customWidth="1"/>
    <col min="5378" max="5378" width="83.140625" style="225" customWidth="1"/>
    <col min="5379" max="5381" width="21.42578125" style="225" customWidth="1"/>
    <col min="5382" max="5382" width="19.5703125" style="225" customWidth="1"/>
    <col min="5383" max="5383" width="2.42578125" style="225" customWidth="1"/>
    <col min="5384" max="5385" width="5.140625" style="225" customWidth="1"/>
    <col min="5386" max="5632" width="11.42578125" style="225"/>
    <col min="5633" max="5633" width="20.28515625" style="225" customWidth="1"/>
    <col min="5634" max="5634" width="83.140625" style="225" customWidth="1"/>
    <col min="5635" max="5637" width="21.42578125" style="225" customWidth="1"/>
    <col min="5638" max="5638" width="19.5703125" style="225" customWidth="1"/>
    <col min="5639" max="5639" width="2.42578125" style="225" customWidth="1"/>
    <col min="5640" max="5641" width="5.140625" style="225" customWidth="1"/>
    <col min="5642" max="5888" width="11.42578125" style="225"/>
    <col min="5889" max="5889" width="20.28515625" style="225" customWidth="1"/>
    <col min="5890" max="5890" width="83.140625" style="225" customWidth="1"/>
    <col min="5891" max="5893" width="21.42578125" style="225" customWidth="1"/>
    <col min="5894" max="5894" width="19.5703125" style="225" customWidth="1"/>
    <col min="5895" max="5895" width="2.42578125" style="225" customWidth="1"/>
    <col min="5896" max="5897" width="5.140625" style="225" customWidth="1"/>
    <col min="5898" max="6144" width="11.42578125" style="225"/>
    <col min="6145" max="6145" width="20.28515625" style="225" customWidth="1"/>
    <col min="6146" max="6146" width="83.140625" style="225" customWidth="1"/>
    <col min="6147" max="6149" width="21.42578125" style="225" customWidth="1"/>
    <col min="6150" max="6150" width="19.5703125" style="225" customWidth="1"/>
    <col min="6151" max="6151" width="2.42578125" style="225" customWidth="1"/>
    <col min="6152" max="6153" width="5.140625" style="225" customWidth="1"/>
    <col min="6154" max="6400" width="11.42578125" style="225"/>
    <col min="6401" max="6401" width="20.28515625" style="225" customWidth="1"/>
    <col min="6402" max="6402" width="83.140625" style="225" customWidth="1"/>
    <col min="6403" max="6405" width="21.42578125" style="225" customWidth="1"/>
    <col min="6406" max="6406" width="19.5703125" style="225" customWidth="1"/>
    <col min="6407" max="6407" width="2.42578125" style="225" customWidth="1"/>
    <col min="6408" max="6409" width="5.140625" style="225" customWidth="1"/>
    <col min="6410" max="6656" width="11.42578125" style="225"/>
    <col min="6657" max="6657" width="20.28515625" style="225" customWidth="1"/>
    <col min="6658" max="6658" width="83.140625" style="225" customWidth="1"/>
    <col min="6659" max="6661" width="21.42578125" style="225" customWidth="1"/>
    <col min="6662" max="6662" width="19.5703125" style="225" customWidth="1"/>
    <col min="6663" max="6663" width="2.42578125" style="225" customWidth="1"/>
    <col min="6664" max="6665" width="5.140625" style="225" customWidth="1"/>
    <col min="6666" max="6912" width="11.42578125" style="225"/>
    <col min="6913" max="6913" width="20.28515625" style="225" customWidth="1"/>
    <col min="6914" max="6914" width="83.140625" style="225" customWidth="1"/>
    <col min="6915" max="6917" width="21.42578125" style="225" customWidth="1"/>
    <col min="6918" max="6918" width="19.5703125" style="225" customWidth="1"/>
    <col min="6919" max="6919" width="2.42578125" style="225" customWidth="1"/>
    <col min="6920" max="6921" width="5.140625" style="225" customWidth="1"/>
    <col min="6922" max="7168" width="11.42578125" style="225"/>
    <col min="7169" max="7169" width="20.28515625" style="225" customWidth="1"/>
    <col min="7170" max="7170" width="83.140625" style="225" customWidth="1"/>
    <col min="7171" max="7173" width="21.42578125" style="225" customWidth="1"/>
    <col min="7174" max="7174" width="19.5703125" style="225" customWidth="1"/>
    <col min="7175" max="7175" width="2.42578125" style="225" customWidth="1"/>
    <col min="7176" max="7177" width="5.140625" style="225" customWidth="1"/>
    <col min="7178" max="7424" width="11.42578125" style="225"/>
    <col min="7425" max="7425" width="20.28515625" style="225" customWidth="1"/>
    <col min="7426" max="7426" width="83.140625" style="225" customWidth="1"/>
    <col min="7427" max="7429" width="21.42578125" style="225" customWidth="1"/>
    <col min="7430" max="7430" width="19.5703125" style="225" customWidth="1"/>
    <col min="7431" max="7431" width="2.42578125" style="225" customWidth="1"/>
    <col min="7432" max="7433" width="5.140625" style="225" customWidth="1"/>
    <col min="7434" max="7680" width="11.42578125" style="225"/>
    <col min="7681" max="7681" width="20.28515625" style="225" customWidth="1"/>
    <col min="7682" max="7682" width="83.140625" style="225" customWidth="1"/>
    <col min="7683" max="7685" width="21.42578125" style="225" customWidth="1"/>
    <col min="7686" max="7686" width="19.5703125" style="225" customWidth="1"/>
    <col min="7687" max="7687" width="2.42578125" style="225" customWidth="1"/>
    <col min="7688" max="7689" width="5.140625" style="225" customWidth="1"/>
    <col min="7690" max="7936" width="11.42578125" style="225"/>
    <col min="7937" max="7937" width="20.28515625" style="225" customWidth="1"/>
    <col min="7938" max="7938" width="83.140625" style="225" customWidth="1"/>
    <col min="7939" max="7941" width="21.42578125" style="225" customWidth="1"/>
    <col min="7942" max="7942" width="19.5703125" style="225" customWidth="1"/>
    <col min="7943" max="7943" width="2.42578125" style="225" customWidth="1"/>
    <col min="7944" max="7945" width="5.140625" style="225" customWidth="1"/>
    <col min="7946" max="8192" width="11.42578125" style="225"/>
    <col min="8193" max="8193" width="20.28515625" style="225" customWidth="1"/>
    <col min="8194" max="8194" width="83.140625" style="225" customWidth="1"/>
    <col min="8195" max="8197" width="21.42578125" style="225" customWidth="1"/>
    <col min="8198" max="8198" width="19.5703125" style="225" customWidth="1"/>
    <col min="8199" max="8199" width="2.42578125" style="225" customWidth="1"/>
    <col min="8200" max="8201" width="5.140625" style="225" customWidth="1"/>
    <col min="8202" max="8448" width="11.42578125" style="225"/>
    <col min="8449" max="8449" width="20.28515625" style="225" customWidth="1"/>
    <col min="8450" max="8450" width="83.140625" style="225" customWidth="1"/>
    <col min="8451" max="8453" width="21.42578125" style="225" customWidth="1"/>
    <col min="8454" max="8454" width="19.5703125" style="225" customWidth="1"/>
    <col min="8455" max="8455" width="2.42578125" style="225" customWidth="1"/>
    <col min="8456" max="8457" width="5.140625" style="225" customWidth="1"/>
    <col min="8458" max="8704" width="11.42578125" style="225"/>
    <col min="8705" max="8705" width="20.28515625" style="225" customWidth="1"/>
    <col min="8706" max="8706" width="83.140625" style="225" customWidth="1"/>
    <col min="8707" max="8709" width="21.42578125" style="225" customWidth="1"/>
    <col min="8710" max="8710" width="19.5703125" style="225" customWidth="1"/>
    <col min="8711" max="8711" width="2.42578125" style="225" customWidth="1"/>
    <col min="8712" max="8713" width="5.140625" style="225" customWidth="1"/>
    <col min="8714" max="8960" width="11.42578125" style="225"/>
    <col min="8961" max="8961" width="20.28515625" style="225" customWidth="1"/>
    <col min="8962" max="8962" width="83.140625" style="225" customWidth="1"/>
    <col min="8963" max="8965" width="21.42578125" style="225" customWidth="1"/>
    <col min="8966" max="8966" width="19.5703125" style="225" customWidth="1"/>
    <col min="8967" max="8967" width="2.42578125" style="225" customWidth="1"/>
    <col min="8968" max="8969" width="5.140625" style="225" customWidth="1"/>
    <col min="8970" max="9216" width="11.42578125" style="225"/>
    <col min="9217" max="9217" width="20.28515625" style="225" customWidth="1"/>
    <col min="9218" max="9218" width="83.140625" style="225" customWidth="1"/>
    <col min="9219" max="9221" width="21.42578125" style="225" customWidth="1"/>
    <col min="9222" max="9222" width="19.5703125" style="225" customWidth="1"/>
    <col min="9223" max="9223" width="2.42578125" style="225" customWidth="1"/>
    <col min="9224" max="9225" width="5.140625" style="225" customWidth="1"/>
    <col min="9226" max="9472" width="11.42578125" style="225"/>
    <col min="9473" max="9473" width="20.28515625" style="225" customWidth="1"/>
    <col min="9474" max="9474" width="83.140625" style="225" customWidth="1"/>
    <col min="9475" max="9477" width="21.42578125" style="225" customWidth="1"/>
    <col min="9478" max="9478" width="19.5703125" style="225" customWidth="1"/>
    <col min="9479" max="9479" width="2.42578125" style="225" customWidth="1"/>
    <col min="9480" max="9481" width="5.140625" style="225" customWidth="1"/>
    <col min="9482" max="9728" width="11.42578125" style="225"/>
    <col min="9729" max="9729" width="20.28515625" style="225" customWidth="1"/>
    <col min="9730" max="9730" width="83.140625" style="225" customWidth="1"/>
    <col min="9731" max="9733" width="21.42578125" style="225" customWidth="1"/>
    <col min="9734" max="9734" width="19.5703125" style="225" customWidth="1"/>
    <col min="9735" max="9735" width="2.42578125" style="225" customWidth="1"/>
    <col min="9736" max="9737" width="5.140625" style="225" customWidth="1"/>
    <col min="9738" max="9984" width="11.42578125" style="225"/>
    <col min="9985" max="9985" width="20.28515625" style="225" customWidth="1"/>
    <col min="9986" max="9986" width="83.140625" style="225" customWidth="1"/>
    <col min="9987" max="9989" width="21.42578125" style="225" customWidth="1"/>
    <col min="9990" max="9990" width="19.5703125" style="225" customWidth="1"/>
    <col min="9991" max="9991" width="2.42578125" style="225" customWidth="1"/>
    <col min="9992" max="9993" width="5.140625" style="225" customWidth="1"/>
    <col min="9994" max="10240" width="11.42578125" style="225"/>
    <col min="10241" max="10241" width="20.28515625" style="225" customWidth="1"/>
    <col min="10242" max="10242" width="83.140625" style="225" customWidth="1"/>
    <col min="10243" max="10245" width="21.42578125" style="225" customWidth="1"/>
    <col min="10246" max="10246" width="19.5703125" style="225" customWidth="1"/>
    <col min="10247" max="10247" width="2.42578125" style="225" customWidth="1"/>
    <col min="10248" max="10249" width="5.140625" style="225" customWidth="1"/>
    <col min="10250" max="10496" width="11.42578125" style="225"/>
    <col min="10497" max="10497" width="20.28515625" style="225" customWidth="1"/>
    <col min="10498" max="10498" width="83.140625" style="225" customWidth="1"/>
    <col min="10499" max="10501" width="21.42578125" style="225" customWidth="1"/>
    <col min="10502" max="10502" width="19.5703125" style="225" customWidth="1"/>
    <col min="10503" max="10503" width="2.42578125" style="225" customWidth="1"/>
    <col min="10504" max="10505" width="5.140625" style="225" customWidth="1"/>
    <col min="10506" max="10752" width="11.42578125" style="225"/>
    <col min="10753" max="10753" width="20.28515625" style="225" customWidth="1"/>
    <col min="10754" max="10754" width="83.140625" style="225" customWidth="1"/>
    <col min="10755" max="10757" width="21.42578125" style="225" customWidth="1"/>
    <col min="10758" max="10758" width="19.5703125" style="225" customWidth="1"/>
    <col min="10759" max="10759" width="2.42578125" style="225" customWidth="1"/>
    <col min="10760" max="10761" width="5.140625" style="225" customWidth="1"/>
    <col min="10762" max="11008" width="11.42578125" style="225"/>
    <col min="11009" max="11009" width="20.28515625" style="225" customWidth="1"/>
    <col min="11010" max="11010" width="83.140625" style="225" customWidth="1"/>
    <col min="11011" max="11013" width="21.42578125" style="225" customWidth="1"/>
    <col min="11014" max="11014" width="19.5703125" style="225" customWidth="1"/>
    <col min="11015" max="11015" width="2.42578125" style="225" customWidth="1"/>
    <col min="11016" max="11017" width="5.140625" style="225" customWidth="1"/>
    <col min="11018" max="11264" width="11.42578125" style="225"/>
    <col min="11265" max="11265" width="20.28515625" style="225" customWidth="1"/>
    <col min="11266" max="11266" width="83.140625" style="225" customWidth="1"/>
    <col min="11267" max="11269" width="21.42578125" style="225" customWidth="1"/>
    <col min="11270" max="11270" width="19.5703125" style="225" customWidth="1"/>
    <col min="11271" max="11271" width="2.42578125" style="225" customWidth="1"/>
    <col min="11272" max="11273" width="5.140625" style="225" customWidth="1"/>
    <col min="11274" max="11520" width="11.42578125" style="225"/>
    <col min="11521" max="11521" width="20.28515625" style="225" customWidth="1"/>
    <col min="11522" max="11522" width="83.140625" style="225" customWidth="1"/>
    <col min="11523" max="11525" width="21.42578125" style="225" customWidth="1"/>
    <col min="11526" max="11526" width="19.5703125" style="225" customWidth="1"/>
    <col min="11527" max="11527" width="2.42578125" style="225" customWidth="1"/>
    <col min="11528" max="11529" width="5.140625" style="225" customWidth="1"/>
    <col min="11530" max="11776" width="11.42578125" style="225"/>
    <col min="11777" max="11777" width="20.28515625" style="225" customWidth="1"/>
    <col min="11778" max="11778" width="83.140625" style="225" customWidth="1"/>
    <col min="11779" max="11781" width="21.42578125" style="225" customWidth="1"/>
    <col min="11782" max="11782" width="19.5703125" style="225" customWidth="1"/>
    <col min="11783" max="11783" width="2.42578125" style="225" customWidth="1"/>
    <col min="11784" max="11785" width="5.140625" style="225" customWidth="1"/>
    <col min="11786" max="12032" width="11.42578125" style="225"/>
    <col min="12033" max="12033" width="20.28515625" style="225" customWidth="1"/>
    <col min="12034" max="12034" width="83.140625" style="225" customWidth="1"/>
    <col min="12035" max="12037" width="21.42578125" style="225" customWidth="1"/>
    <col min="12038" max="12038" width="19.5703125" style="225" customWidth="1"/>
    <col min="12039" max="12039" width="2.42578125" style="225" customWidth="1"/>
    <col min="12040" max="12041" width="5.140625" style="225" customWidth="1"/>
    <col min="12042" max="12288" width="11.42578125" style="225"/>
    <col min="12289" max="12289" width="20.28515625" style="225" customWidth="1"/>
    <col min="12290" max="12290" width="83.140625" style="225" customWidth="1"/>
    <col min="12291" max="12293" width="21.42578125" style="225" customWidth="1"/>
    <col min="12294" max="12294" width="19.5703125" style="225" customWidth="1"/>
    <col min="12295" max="12295" width="2.42578125" style="225" customWidth="1"/>
    <col min="12296" max="12297" width="5.140625" style="225" customWidth="1"/>
    <col min="12298" max="12544" width="11.42578125" style="225"/>
    <col min="12545" max="12545" width="20.28515625" style="225" customWidth="1"/>
    <col min="12546" max="12546" width="83.140625" style="225" customWidth="1"/>
    <col min="12547" max="12549" width="21.42578125" style="225" customWidth="1"/>
    <col min="12550" max="12550" width="19.5703125" style="225" customWidth="1"/>
    <col min="12551" max="12551" width="2.42578125" style="225" customWidth="1"/>
    <col min="12552" max="12553" width="5.140625" style="225" customWidth="1"/>
    <col min="12554" max="12800" width="11.42578125" style="225"/>
    <col min="12801" max="12801" width="20.28515625" style="225" customWidth="1"/>
    <col min="12802" max="12802" width="83.140625" style="225" customWidth="1"/>
    <col min="12803" max="12805" width="21.42578125" style="225" customWidth="1"/>
    <col min="12806" max="12806" width="19.5703125" style="225" customWidth="1"/>
    <col min="12807" max="12807" width="2.42578125" style="225" customWidth="1"/>
    <col min="12808" max="12809" width="5.140625" style="225" customWidth="1"/>
    <col min="12810" max="13056" width="11.42578125" style="225"/>
    <col min="13057" max="13057" width="20.28515625" style="225" customWidth="1"/>
    <col min="13058" max="13058" width="83.140625" style="225" customWidth="1"/>
    <col min="13059" max="13061" width="21.42578125" style="225" customWidth="1"/>
    <col min="13062" max="13062" width="19.5703125" style="225" customWidth="1"/>
    <col min="13063" max="13063" width="2.42578125" style="225" customWidth="1"/>
    <col min="13064" max="13065" width="5.140625" style="225" customWidth="1"/>
    <col min="13066" max="13312" width="11.42578125" style="225"/>
    <col min="13313" max="13313" width="20.28515625" style="225" customWidth="1"/>
    <col min="13314" max="13314" width="83.140625" style="225" customWidth="1"/>
    <col min="13315" max="13317" width="21.42578125" style="225" customWidth="1"/>
    <col min="13318" max="13318" width="19.5703125" style="225" customWidth="1"/>
    <col min="13319" max="13319" width="2.42578125" style="225" customWidth="1"/>
    <col min="13320" max="13321" width="5.140625" style="225" customWidth="1"/>
    <col min="13322" max="13568" width="11.42578125" style="225"/>
    <col min="13569" max="13569" width="20.28515625" style="225" customWidth="1"/>
    <col min="13570" max="13570" width="83.140625" style="225" customWidth="1"/>
    <col min="13571" max="13573" width="21.42578125" style="225" customWidth="1"/>
    <col min="13574" max="13574" width="19.5703125" style="225" customWidth="1"/>
    <col min="13575" max="13575" width="2.42578125" style="225" customWidth="1"/>
    <col min="13576" max="13577" width="5.140625" style="225" customWidth="1"/>
    <col min="13578" max="13824" width="11.42578125" style="225"/>
    <col min="13825" max="13825" width="20.28515625" style="225" customWidth="1"/>
    <col min="13826" max="13826" width="83.140625" style="225" customWidth="1"/>
    <col min="13827" max="13829" width="21.42578125" style="225" customWidth="1"/>
    <col min="13830" max="13830" width="19.5703125" style="225" customWidth="1"/>
    <col min="13831" max="13831" width="2.42578125" style="225" customWidth="1"/>
    <col min="13832" max="13833" width="5.140625" style="225" customWidth="1"/>
    <col min="13834" max="14080" width="11.42578125" style="225"/>
    <col min="14081" max="14081" width="20.28515625" style="225" customWidth="1"/>
    <col min="14082" max="14082" width="83.140625" style="225" customWidth="1"/>
    <col min="14083" max="14085" width="21.42578125" style="225" customWidth="1"/>
    <col min="14086" max="14086" width="19.5703125" style="225" customWidth="1"/>
    <col min="14087" max="14087" width="2.42578125" style="225" customWidth="1"/>
    <col min="14088" max="14089" width="5.140625" style="225" customWidth="1"/>
    <col min="14090" max="14336" width="11.42578125" style="225"/>
    <col min="14337" max="14337" width="20.28515625" style="225" customWidth="1"/>
    <col min="14338" max="14338" width="83.140625" style="225" customWidth="1"/>
    <col min="14339" max="14341" width="21.42578125" style="225" customWidth="1"/>
    <col min="14342" max="14342" width="19.5703125" style="225" customWidth="1"/>
    <col min="14343" max="14343" width="2.42578125" style="225" customWidth="1"/>
    <col min="14344" max="14345" width="5.140625" style="225" customWidth="1"/>
    <col min="14346" max="14592" width="11.42578125" style="225"/>
    <col min="14593" max="14593" width="20.28515625" style="225" customWidth="1"/>
    <col min="14594" max="14594" width="83.140625" style="225" customWidth="1"/>
    <col min="14595" max="14597" width="21.42578125" style="225" customWidth="1"/>
    <col min="14598" max="14598" width="19.5703125" style="225" customWidth="1"/>
    <col min="14599" max="14599" width="2.42578125" style="225" customWidth="1"/>
    <col min="14600" max="14601" width="5.140625" style="225" customWidth="1"/>
    <col min="14602" max="14848" width="11.42578125" style="225"/>
    <col min="14849" max="14849" width="20.28515625" style="225" customWidth="1"/>
    <col min="14850" max="14850" width="83.140625" style="225" customWidth="1"/>
    <col min="14851" max="14853" width="21.42578125" style="225" customWidth="1"/>
    <col min="14854" max="14854" width="19.5703125" style="225" customWidth="1"/>
    <col min="14855" max="14855" width="2.42578125" style="225" customWidth="1"/>
    <col min="14856" max="14857" width="5.140625" style="225" customWidth="1"/>
    <col min="14858" max="15104" width="11.42578125" style="225"/>
    <col min="15105" max="15105" width="20.28515625" style="225" customWidth="1"/>
    <col min="15106" max="15106" width="83.140625" style="225" customWidth="1"/>
    <col min="15107" max="15109" width="21.42578125" style="225" customWidth="1"/>
    <col min="15110" max="15110" width="19.5703125" style="225" customWidth="1"/>
    <col min="15111" max="15111" width="2.42578125" style="225" customWidth="1"/>
    <col min="15112" max="15113" width="5.140625" style="225" customWidth="1"/>
    <col min="15114" max="15360" width="11.42578125" style="225"/>
    <col min="15361" max="15361" width="20.28515625" style="225" customWidth="1"/>
    <col min="15362" max="15362" width="83.140625" style="225" customWidth="1"/>
    <col min="15363" max="15365" width="21.42578125" style="225" customWidth="1"/>
    <col min="15366" max="15366" width="19.5703125" style="225" customWidth="1"/>
    <col min="15367" max="15367" width="2.42578125" style="225" customWidth="1"/>
    <col min="15368" max="15369" width="5.140625" style="225" customWidth="1"/>
    <col min="15370" max="15616" width="11.42578125" style="225"/>
    <col min="15617" max="15617" width="20.28515625" style="225" customWidth="1"/>
    <col min="15618" max="15618" width="83.140625" style="225" customWidth="1"/>
    <col min="15619" max="15621" width="21.42578125" style="225" customWidth="1"/>
    <col min="15622" max="15622" width="19.5703125" style="225" customWidth="1"/>
    <col min="15623" max="15623" width="2.42578125" style="225" customWidth="1"/>
    <col min="15624" max="15625" width="5.140625" style="225" customWidth="1"/>
    <col min="15626" max="15872" width="11.42578125" style="225"/>
    <col min="15873" max="15873" width="20.28515625" style="225" customWidth="1"/>
    <col min="15874" max="15874" width="83.140625" style="225" customWidth="1"/>
    <col min="15875" max="15877" width="21.42578125" style="225" customWidth="1"/>
    <col min="15878" max="15878" width="19.5703125" style="225" customWidth="1"/>
    <col min="15879" max="15879" width="2.42578125" style="225" customWidth="1"/>
    <col min="15880" max="15881" width="5.140625" style="225" customWidth="1"/>
    <col min="15882" max="16128" width="11.42578125" style="225"/>
    <col min="16129" max="16129" width="20.28515625" style="225" customWidth="1"/>
    <col min="16130" max="16130" width="83.140625" style="225" customWidth="1"/>
    <col min="16131" max="16133" width="21.42578125" style="225" customWidth="1"/>
    <col min="16134" max="16134" width="19.5703125" style="225" customWidth="1"/>
    <col min="16135" max="16135" width="2.42578125" style="225" customWidth="1"/>
    <col min="16136" max="16137" width="5.140625" style="225" customWidth="1"/>
    <col min="16138" max="16384" width="11.42578125" style="225"/>
  </cols>
  <sheetData>
    <row r="1" spans="1:7" ht="12.75" x14ac:dyDescent="0.2">
      <c r="A1" s="15" t="s">
        <v>0</v>
      </c>
      <c r="B1" s="16"/>
      <c r="C1" s="543" t="s">
        <v>1</v>
      </c>
      <c r="D1" s="544"/>
      <c r="E1" s="545"/>
      <c r="F1" s="17"/>
    </row>
    <row r="2" spans="1:7" ht="12.75" x14ac:dyDescent="0.2">
      <c r="A2" s="15" t="str">
        <f>CONCATENATE("COMUNA: ",[5]NOMBRE!B2," - ","( ",[5]NOMBRE!C2,[5]NOMBRE!D2,[5]NOMBRE!E2,[5]NOMBRE!F2,[5]NOMBRE!G2," )")</f>
        <v>COMUNA: LINARES  - ( 07401 )</v>
      </c>
      <c r="B2" s="16"/>
      <c r="C2" s="546"/>
      <c r="D2" s="547"/>
      <c r="E2" s="548"/>
      <c r="F2" s="18"/>
      <c r="G2" s="19"/>
    </row>
    <row r="3" spans="1:7" ht="12.75" x14ac:dyDescent="0.2">
      <c r="A3" s="15" t="str">
        <f>CONCATENATE("ESTABLECIMIENTO/ESTRATEGIA: ",[5]NOMBRE!B3," - ","( ",[5]NOMBRE!C3,[5]NOMBRE!D3,[5]NOMBRE!E3,[5]NOMBRE!F3,[5]NOMBRE!G3,[5]NOMBRE!H3," )")</f>
        <v>ESTABLECIMIENTO/ESTRATEGIA: HOSPITAL DE LINARES  - ( 116108 )</v>
      </c>
      <c r="B3" s="16"/>
      <c r="C3" s="543" t="s">
        <v>2</v>
      </c>
      <c r="D3" s="544"/>
      <c r="E3" s="545"/>
      <c r="F3" s="18"/>
      <c r="G3" s="20"/>
    </row>
    <row r="4" spans="1:7" ht="12.75" x14ac:dyDescent="0.2">
      <c r="A4" s="15" t="str">
        <f>CONCATENATE("MES: ",[5]NOMBRE!B6," - ","( ",[5]NOMBRE!C6,[5]NOMBRE!D6," )")</f>
        <v>MES: ABRIL - ( 04 )</v>
      </c>
      <c r="B4" s="16"/>
      <c r="C4" s="546" t="str">
        <f>CONCATENATE([5]NOMBRE!B6," ","( ",[5]NOMBRE!C6,[5]NOMBRE!D6," )")</f>
        <v>ABRIL ( 04 )</v>
      </c>
      <c r="D4" s="547"/>
      <c r="E4" s="548"/>
      <c r="F4" s="18"/>
      <c r="G4" s="20"/>
    </row>
    <row r="5" spans="1:7" ht="12.75" x14ac:dyDescent="0.2">
      <c r="A5" s="15" t="str">
        <f>CONCATENATE("AÑO: ",[5]NOMBRE!B7)</f>
        <v>AÑO: 2014</v>
      </c>
      <c r="B5" s="16"/>
      <c r="C5" s="543" t="s">
        <v>3</v>
      </c>
      <c r="D5" s="544"/>
      <c r="E5" s="545"/>
      <c r="F5" s="18"/>
      <c r="G5" s="20"/>
    </row>
    <row r="6" spans="1:7" ht="12.75" x14ac:dyDescent="0.2">
      <c r="A6" s="21"/>
      <c r="B6" s="21"/>
      <c r="C6" s="546">
        <f>[5]NOMBRE!B7</f>
        <v>2014</v>
      </c>
      <c r="D6" s="547"/>
      <c r="E6" s="548"/>
      <c r="F6" s="18"/>
      <c r="G6" s="20"/>
    </row>
    <row r="7" spans="1:7" ht="15" x14ac:dyDescent="0.2">
      <c r="A7" s="555" t="s">
        <v>4</v>
      </c>
      <c r="B7" s="556"/>
      <c r="C7" s="560" t="s">
        <v>5</v>
      </c>
      <c r="D7" s="561"/>
      <c r="E7" s="562"/>
      <c r="F7" s="18"/>
      <c r="G7" s="20"/>
    </row>
    <row r="8" spans="1:7" ht="15" x14ac:dyDescent="0.2">
      <c r="A8" s="21"/>
      <c r="B8" s="254" t="s">
        <v>6</v>
      </c>
      <c r="C8" s="546" t="str">
        <f>CONCATENATE([5]NOMBRE!B3," ","( ",[5]NOMBRE!C3,[5]NOMBRE!D3,[5]NOMBRE!E3,[5]NOMBRE!F3,[5]NOMBRE!G3," )")</f>
        <v>HOSPITAL DE LINARES  ( 11610 )</v>
      </c>
      <c r="D8" s="547"/>
      <c r="E8" s="548"/>
      <c r="F8" s="18"/>
      <c r="G8" s="20"/>
    </row>
    <row r="9" spans="1:7" ht="12.75" x14ac:dyDescent="0.2">
      <c r="A9" s="21"/>
      <c r="B9" s="21"/>
      <c r="C9" s="21"/>
      <c r="D9" s="21"/>
      <c r="E9" s="21"/>
      <c r="F9" s="18"/>
      <c r="G9" s="20"/>
    </row>
    <row r="10" spans="1:7" ht="12.75" x14ac:dyDescent="0.2">
      <c r="A10" s="21"/>
      <c r="B10" s="21"/>
      <c r="C10" s="21"/>
      <c r="D10" s="21"/>
      <c r="E10" s="21"/>
      <c r="F10" s="18"/>
      <c r="G10" s="22"/>
    </row>
    <row r="11" spans="1:7" ht="12.75" x14ac:dyDescent="0.2">
      <c r="A11" s="549" t="s">
        <v>7</v>
      </c>
      <c r="B11" s="550"/>
      <c r="C11" s="550"/>
      <c r="D11" s="550"/>
      <c r="E11" s="551"/>
      <c r="F11" s="18"/>
    </row>
    <row r="12" spans="1:7" ht="43.5" customHeight="1" x14ac:dyDescent="0.2">
      <c r="A12" s="1" t="s">
        <v>8</v>
      </c>
      <c r="B12" s="1" t="s">
        <v>9</v>
      </c>
      <c r="C12" s="248" t="s">
        <v>10</v>
      </c>
      <c r="D12" s="3" t="s">
        <v>11</v>
      </c>
      <c r="E12" s="250" t="s">
        <v>12</v>
      </c>
      <c r="F12" s="21"/>
    </row>
    <row r="13" spans="1:7" ht="12.75" customHeight="1" x14ac:dyDescent="0.2">
      <c r="A13" s="552" t="s">
        <v>13</v>
      </c>
      <c r="B13" s="553"/>
      <c r="C13" s="553"/>
      <c r="D13" s="553"/>
      <c r="E13" s="554"/>
      <c r="F13" s="21"/>
    </row>
    <row r="14" spans="1:7" ht="15" customHeight="1" x14ac:dyDescent="0.2">
      <c r="A14" s="179" t="s">
        <v>14</v>
      </c>
      <c r="B14" s="188" t="s">
        <v>15</v>
      </c>
      <c r="C14" s="132">
        <f>[5]BS17A!$D13</f>
        <v>0</v>
      </c>
      <c r="D14" s="23">
        <f>[5]BS17A!$U13</f>
        <v>4170</v>
      </c>
      <c r="E14" s="24">
        <f>[5]BS17A!$V13</f>
        <v>0</v>
      </c>
      <c r="F14" s="21"/>
    </row>
    <row r="15" spans="1:7" ht="15" customHeight="1" x14ac:dyDescent="0.2">
      <c r="A15" s="180" t="s">
        <v>16</v>
      </c>
      <c r="B15" s="177" t="s">
        <v>17</v>
      </c>
      <c r="C15" s="132">
        <f>[5]BS17A!$D14</f>
        <v>0</v>
      </c>
      <c r="D15" s="26">
        <f>[5]BS17A!$U14</f>
        <v>5240</v>
      </c>
      <c r="E15" s="27">
        <f>[5]BS17A!$V14</f>
        <v>0</v>
      </c>
      <c r="F15" s="21"/>
    </row>
    <row r="16" spans="1:7" ht="15" customHeight="1" x14ac:dyDescent="0.2">
      <c r="A16" s="180" t="s">
        <v>18</v>
      </c>
      <c r="B16" s="177" t="s">
        <v>19</v>
      </c>
      <c r="C16" s="132">
        <f>[5]BS17A!$D15</f>
        <v>6393</v>
      </c>
      <c r="D16" s="26">
        <f>[5]BS17A!$U15</f>
        <v>11250</v>
      </c>
      <c r="E16" s="27">
        <f>[5]BS17A!$V15</f>
        <v>71921250</v>
      </c>
      <c r="F16" s="21"/>
    </row>
    <row r="17" spans="1:6" ht="15" customHeight="1" x14ac:dyDescent="0.2">
      <c r="A17" s="180" t="s">
        <v>20</v>
      </c>
      <c r="B17" s="177" t="s">
        <v>21</v>
      </c>
      <c r="C17" s="132">
        <f>[5]BS17A!$D16</f>
        <v>0</v>
      </c>
      <c r="D17" s="26">
        <f>[5]BS17A!$U16</f>
        <v>6720</v>
      </c>
      <c r="E17" s="27">
        <f>[5]BS17A!$V16</f>
        <v>0</v>
      </c>
      <c r="F17" s="21"/>
    </row>
    <row r="18" spans="1:6" ht="15" customHeight="1" x14ac:dyDescent="0.2">
      <c r="A18" s="180" t="s">
        <v>22</v>
      </c>
      <c r="B18" s="177" t="s">
        <v>23</v>
      </c>
      <c r="C18" s="132">
        <f>[5]BS17A!$D17</f>
        <v>0</v>
      </c>
      <c r="D18" s="26">
        <f>[5]BS17A!$U17</f>
        <v>7370</v>
      </c>
      <c r="E18" s="27">
        <f>[5]BS17A!$V17</f>
        <v>0</v>
      </c>
      <c r="F18" s="21"/>
    </row>
    <row r="19" spans="1:6" ht="33" customHeight="1" x14ac:dyDescent="0.2">
      <c r="A19" s="180" t="s">
        <v>24</v>
      </c>
      <c r="B19" s="14" t="s">
        <v>25</v>
      </c>
      <c r="C19" s="132">
        <f>[5]BS17A!$D20</f>
        <v>0</v>
      </c>
      <c r="D19" s="26">
        <f>[5]BS17A!$U20</f>
        <v>5690</v>
      </c>
      <c r="E19" s="27">
        <f>[5]BS17A!$V20</f>
        <v>0</v>
      </c>
      <c r="F19" s="21"/>
    </row>
    <row r="20" spans="1:6" ht="42.75" customHeight="1" x14ac:dyDescent="0.2">
      <c r="A20" s="180" t="s">
        <v>26</v>
      </c>
      <c r="B20" s="14" t="s">
        <v>27</v>
      </c>
      <c r="C20" s="132">
        <f>[5]BS17A!$D21</f>
        <v>0</v>
      </c>
      <c r="D20" s="26">
        <f>[5]BS17A!$U21</f>
        <v>6820</v>
      </c>
      <c r="E20" s="27">
        <f>[5]BS17A!$V21</f>
        <v>0</v>
      </c>
      <c r="F20" s="21"/>
    </row>
    <row r="21" spans="1:6" ht="42.75" customHeight="1" x14ac:dyDescent="0.2">
      <c r="A21" s="180" t="s">
        <v>28</v>
      </c>
      <c r="B21" s="14" t="s">
        <v>29</v>
      </c>
      <c r="C21" s="132">
        <f>[5]BS17A!$D22</f>
        <v>0</v>
      </c>
      <c r="D21" s="26">
        <f>[5]BS17A!$U22</f>
        <v>8460</v>
      </c>
      <c r="E21" s="27">
        <f>[5]BS17A!$V22</f>
        <v>0</v>
      </c>
      <c r="F21" s="21"/>
    </row>
    <row r="22" spans="1:6" ht="32.25" customHeight="1" x14ac:dyDescent="0.2">
      <c r="A22" s="180" t="s">
        <v>30</v>
      </c>
      <c r="B22" s="14" t="s">
        <v>31</v>
      </c>
      <c r="C22" s="132">
        <f>[5]BS17A!$D23</f>
        <v>2073</v>
      </c>
      <c r="D22" s="26">
        <f>[5]BS17A!$U23</f>
        <v>5690</v>
      </c>
      <c r="E22" s="27">
        <f>[5]BS17A!$V23</f>
        <v>11795370</v>
      </c>
      <c r="F22" s="21"/>
    </row>
    <row r="23" spans="1:6" ht="40.5" customHeight="1" x14ac:dyDescent="0.2">
      <c r="A23" s="180" t="s">
        <v>32</v>
      </c>
      <c r="B23" s="14" t="s">
        <v>33</v>
      </c>
      <c r="C23" s="132">
        <f>[5]BS17A!$D24</f>
        <v>1372</v>
      </c>
      <c r="D23" s="26">
        <f>[5]BS17A!$U24</f>
        <v>6820</v>
      </c>
      <c r="E23" s="27">
        <f>[5]BS17A!$V24</f>
        <v>9357040</v>
      </c>
      <c r="F23" s="21"/>
    </row>
    <row r="24" spans="1:6" ht="27" customHeight="1" x14ac:dyDescent="0.2">
      <c r="A24" s="180" t="s">
        <v>34</v>
      </c>
      <c r="B24" s="14" t="s">
        <v>35</v>
      </c>
      <c r="C24" s="132">
        <f>[5]BS17A!$D25</f>
        <v>2339</v>
      </c>
      <c r="D24" s="26">
        <f>[5]BS17A!$U25</f>
        <v>8460</v>
      </c>
      <c r="E24" s="27">
        <f>[5]BS17A!$V25</f>
        <v>19787940</v>
      </c>
      <c r="F24" s="21"/>
    </row>
    <row r="25" spans="1:6" ht="15" customHeight="1" x14ac:dyDescent="0.2">
      <c r="A25" s="180" t="s">
        <v>36</v>
      </c>
      <c r="B25" s="176" t="s">
        <v>37</v>
      </c>
      <c r="C25" s="132">
        <f>+[5]BS17A!$D795</f>
        <v>154</v>
      </c>
      <c r="D25" s="26">
        <f>+[5]BS17A!$U795</f>
        <v>6900</v>
      </c>
      <c r="E25" s="27">
        <f>+[5]BS17A!$V795</f>
        <v>1062600</v>
      </c>
      <c r="F25" s="21"/>
    </row>
    <row r="26" spans="1:6" ht="15" customHeight="1" x14ac:dyDescent="0.2">
      <c r="A26" s="181" t="s">
        <v>38</v>
      </c>
      <c r="B26" s="195" t="s">
        <v>39</v>
      </c>
      <c r="C26" s="142">
        <f>+[5]BS17A!$D800</f>
        <v>0</v>
      </c>
      <c r="D26" s="28">
        <f>+[5]BS17A!$U800</f>
        <v>28580</v>
      </c>
      <c r="E26" s="29">
        <f>+[5]BS17A!$V800</f>
        <v>0</v>
      </c>
      <c r="F26" s="21"/>
    </row>
    <row r="27" spans="1:6" ht="18" customHeight="1" x14ac:dyDescent="0.2">
      <c r="A27" s="552" t="s">
        <v>40</v>
      </c>
      <c r="B27" s="553"/>
      <c r="C27" s="553"/>
      <c r="D27" s="553"/>
      <c r="E27" s="554"/>
      <c r="F27" s="21"/>
    </row>
    <row r="28" spans="1:6" ht="15" customHeight="1" x14ac:dyDescent="0.2">
      <c r="A28" s="179" t="s">
        <v>41</v>
      </c>
      <c r="B28" s="188" t="s">
        <v>42</v>
      </c>
      <c r="C28" s="135">
        <f>[5]BS17A!$D27</f>
        <v>1755</v>
      </c>
      <c r="D28" s="23">
        <f>[5]BS17A!$U27</f>
        <v>1110</v>
      </c>
      <c r="E28" s="24">
        <f>[5]BS17A!$V27</f>
        <v>1948050</v>
      </c>
      <c r="F28" s="21"/>
    </row>
    <row r="29" spans="1:6" ht="15" customHeight="1" x14ac:dyDescent="0.2">
      <c r="A29" s="180" t="s">
        <v>43</v>
      </c>
      <c r="B29" s="194" t="s">
        <v>44</v>
      </c>
      <c r="C29" s="132">
        <f>[5]BS17A!$D28</f>
        <v>0</v>
      </c>
      <c r="D29" s="26">
        <f>[5]BS17A!$U28</f>
        <v>1900</v>
      </c>
      <c r="E29" s="27">
        <f>[5]BS17A!$V28</f>
        <v>0</v>
      </c>
      <c r="F29" s="21"/>
    </row>
    <row r="30" spans="1:6" ht="15" customHeight="1" x14ac:dyDescent="0.2">
      <c r="A30" s="180" t="s">
        <v>45</v>
      </c>
      <c r="B30" s="177" t="s">
        <v>46</v>
      </c>
      <c r="C30" s="132">
        <f>[5]BS17A!$D29</f>
        <v>0</v>
      </c>
      <c r="D30" s="26">
        <f>[5]BS17A!$U29</f>
        <v>610</v>
      </c>
      <c r="E30" s="27">
        <f>[5]BS17A!$V29</f>
        <v>0</v>
      </c>
      <c r="F30" s="21"/>
    </row>
    <row r="31" spans="1:6" ht="15" customHeight="1" x14ac:dyDescent="0.2">
      <c r="A31" s="180" t="s">
        <v>47</v>
      </c>
      <c r="B31" s="177" t="s">
        <v>48</v>
      </c>
      <c r="C31" s="132">
        <f>[5]BS17A!$D30</f>
        <v>91</v>
      </c>
      <c r="D31" s="26">
        <f>[5]BS17A!$U30</f>
        <v>1500</v>
      </c>
      <c r="E31" s="27">
        <f>[5]BS17A!$V30</f>
        <v>136500</v>
      </c>
      <c r="F31" s="21"/>
    </row>
    <row r="32" spans="1:6" ht="15" customHeight="1" x14ac:dyDescent="0.2">
      <c r="A32" s="180" t="s">
        <v>49</v>
      </c>
      <c r="B32" s="177" t="s">
        <v>50</v>
      </c>
      <c r="C32" s="132">
        <f>[5]BS17A!$D31</f>
        <v>1880</v>
      </c>
      <c r="D32" s="26">
        <f>[5]BS17A!$U31</f>
        <v>1210</v>
      </c>
      <c r="E32" s="27">
        <f>[5]BS17A!$V31</f>
        <v>2274800</v>
      </c>
      <c r="F32" s="21"/>
    </row>
    <row r="33" spans="1:6" ht="15" customHeight="1" x14ac:dyDescent="0.2">
      <c r="A33" s="180" t="s">
        <v>51</v>
      </c>
      <c r="B33" s="194" t="s">
        <v>52</v>
      </c>
      <c r="C33" s="132">
        <f>[5]BS17A!$D32</f>
        <v>0</v>
      </c>
      <c r="D33" s="26">
        <f>[5]BS17A!$U32</f>
        <v>1110</v>
      </c>
      <c r="E33" s="27">
        <f>[5]BS17A!$V32</f>
        <v>0</v>
      </c>
      <c r="F33" s="21"/>
    </row>
    <row r="34" spans="1:6" ht="15" customHeight="1" x14ac:dyDescent="0.2">
      <c r="A34" s="180" t="s">
        <v>53</v>
      </c>
      <c r="B34" s="177" t="s">
        <v>54</v>
      </c>
      <c r="C34" s="132">
        <f>+[5]BS17A!$D796</f>
        <v>301</v>
      </c>
      <c r="D34" s="26">
        <f>+[5]BS17A!$U796</f>
        <v>2700</v>
      </c>
      <c r="E34" s="27">
        <f>+[5]BS17A!$V796</f>
        <v>812700</v>
      </c>
      <c r="F34" s="21"/>
    </row>
    <row r="35" spans="1:6" ht="15" customHeight="1" x14ac:dyDescent="0.2">
      <c r="A35" s="180" t="s">
        <v>55</v>
      </c>
      <c r="B35" s="194" t="s">
        <v>56</v>
      </c>
      <c r="C35" s="132">
        <f>+[5]BS17A!$D797</f>
        <v>600</v>
      </c>
      <c r="D35" s="26">
        <f>+[5]BS17A!$U797</f>
        <v>2700</v>
      </c>
      <c r="E35" s="27">
        <f>+[5]BS17A!$V797</f>
        <v>1620000</v>
      </c>
      <c r="F35" s="21"/>
    </row>
    <row r="36" spans="1:6" ht="15" customHeight="1" x14ac:dyDescent="0.2">
      <c r="A36" s="180" t="s">
        <v>57</v>
      </c>
      <c r="B36" s="194" t="s">
        <v>58</v>
      </c>
      <c r="C36" s="132">
        <f>+[5]BS17A!$D798</f>
        <v>1</v>
      </c>
      <c r="D36" s="26">
        <f>+[5]BS17A!$U798</f>
        <v>10760</v>
      </c>
      <c r="E36" s="27">
        <f>+[5]BS17A!$V798</f>
        <v>10760</v>
      </c>
      <c r="F36" s="21"/>
    </row>
    <row r="37" spans="1:6" ht="15" customHeight="1" x14ac:dyDescent="0.2">
      <c r="A37" s="181" t="s">
        <v>59</v>
      </c>
      <c r="B37" s="224" t="s">
        <v>60</v>
      </c>
      <c r="C37" s="142">
        <f>+[5]BS17A!$D799</f>
        <v>30</v>
      </c>
      <c r="D37" s="28">
        <f>+[5]BS17A!$U799</f>
        <v>12600</v>
      </c>
      <c r="E37" s="29">
        <f>+[5]BS17A!$V799</f>
        <v>378000</v>
      </c>
      <c r="F37" s="21"/>
    </row>
    <row r="38" spans="1:6" ht="18" customHeight="1" x14ac:dyDescent="0.2">
      <c r="A38" s="557" t="s">
        <v>61</v>
      </c>
      <c r="B38" s="558"/>
      <c r="C38" s="558"/>
      <c r="D38" s="558"/>
      <c r="E38" s="559"/>
      <c r="F38" s="21"/>
    </row>
    <row r="39" spans="1:6" ht="15" customHeight="1" x14ac:dyDescent="0.2">
      <c r="A39" s="179" t="s">
        <v>62</v>
      </c>
      <c r="B39" s="175" t="s">
        <v>63</v>
      </c>
      <c r="C39" s="135">
        <f>+[5]BS17A!$D801</f>
        <v>0</v>
      </c>
      <c r="D39" s="31">
        <f>+[5]BS17A!$U801</f>
        <v>3550</v>
      </c>
      <c r="E39" s="32">
        <f>+[5]BS17A!$V801</f>
        <v>0</v>
      </c>
      <c r="F39" s="21"/>
    </row>
    <row r="40" spans="1:6" ht="15" customHeight="1" x14ac:dyDescent="0.2">
      <c r="A40" s="181" t="s">
        <v>64</v>
      </c>
      <c r="B40" s="189" t="s">
        <v>65</v>
      </c>
      <c r="C40" s="142">
        <f>+[5]BS17A!$D802</f>
        <v>0</v>
      </c>
      <c r="D40" s="33">
        <f>+[5]BS17A!$U802</f>
        <v>9180</v>
      </c>
      <c r="E40" s="34">
        <f>+[5]BS17A!$V802</f>
        <v>0</v>
      </c>
      <c r="F40" s="21"/>
    </row>
    <row r="41" spans="1:6" ht="18" customHeight="1" x14ac:dyDescent="0.2">
      <c r="A41" s="557" t="s">
        <v>66</v>
      </c>
      <c r="B41" s="558"/>
      <c r="C41" s="558"/>
      <c r="D41" s="558"/>
      <c r="E41" s="559"/>
      <c r="F41" s="21"/>
    </row>
    <row r="42" spans="1:6" ht="15" customHeight="1" x14ac:dyDescent="0.2">
      <c r="A42" s="179" t="s">
        <v>67</v>
      </c>
      <c r="B42" s="196" t="s">
        <v>68</v>
      </c>
      <c r="C42" s="135">
        <f>+[5]BS17A!$D34</f>
        <v>45</v>
      </c>
      <c r="D42" s="31">
        <f>+[5]BS17A!$U34</f>
        <v>3640</v>
      </c>
      <c r="E42" s="32">
        <f>+[5]BS17A!$V34</f>
        <v>163800</v>
      </c>
      <c r="F42" s="21"/>
    </row>
    <row r="43" spans="1:6" ht="15" customHeight="1" x14ac:dyDescent="0.2">
      <c r="A43" s="180" t="s">
        <v>69</v>
      </c>
      <c r="B43" s="177" t="s">
        <v>70</v>
      </c>
      <c r="C43" s="132">
        <f>+[5]BS17A!$D35</f>
        <v>597</v>
      </c>
      <c r="D43" s="26">
        <f>+[5]BS17A!$U35</f>
        <v>2000</v>
      </c>
      <c r="E43" s="27">
        <f>+[5]BS17A!$V35</f>
        <v>1194000</v>
      </c>
      <c r="F43" s="21"/>
    </row>
    <row r="44" spans="1:6" ht="15" customHeight="1" x14ac:dyDescent="0.2">
      <c r="A44" s="180" t="s">
        <v>71</v>
      </c>
      <c r="B44" s="177" t="s">
        <v>72</v>
      </c>
      <c r="C44" s="132">
        <f>+[5]BS17A!$D36</f>
        <v>0</v>
      </c>
      <c r="D44" s="26">
        <f>+[5]BS17A!$U36</f>
        <v>2000</v>
      </c>
      <c r="E44" s="27">
        <f>+[5]BS17A!$V36</f>
        <v>0</v>
      </c>
      <c r="F44" s="21"/>
    </row>
    <row r="45" spans="1:6" ht="15" customHeight="1" x14ac:dyDescent="0.2">
      <c r="A45" s="181" t="s">
        <v>73</v>
      </c>
      <c r="B45" s="178" t="s">
        <v>74</v>
      </c>
      <c r="C45" s="142">
        <f>+[5]BS17A!$D37</f>
        <v>616</v>
      </c>
      <c r="D45" s="33">
        <f>+[5]BS17A!$U37</f>
        <v>610</v>
      </c>
      <c r="E45" s="34">
        <f>+[5]BS17A!$V37</f>
        <v>375760</v>
      </c>
      <c r="F45" s="21"/>
    </row>
    <row r="46" spans="1:6" ht="18" customHeight="1" x14ac:dyDescent="0.2">
      <c r="A46" s="557" t="s">
        <v>75</v>
      </c>
      <c r="B46" s="558"/>
      <c r="C46" s="558"/>
      <c r="D46" s="558"/>
      <c r="E46" s="559"/>
      <c r="F46" s="21"/>
    </row>
    <row r="47" spans="1:6" ht="15" customHeight="1" x14ac:dyDescent="0.2">
      <c r="A47" s="179" t="s">
        <v>76</v>
      </c>
      <c r="B47" s="196" t="s">
        <v>77</v>
      </c>
      <c r="C47" s="135">
        <f>+[5]BS17A!$D39</f>
        <v>9</v>
      </c>
      <c r="D47" s="31">
        <f>+[5]BS17A!$U39</f>
        <v>1730</v>
      </c>
      <c r="E47" s="32">
        <f>+[5]BS17A!$V39</f>
        <v>15570</v>
      </c>
      <c r="F47" s="21"/>
    </row>
    <row r="48" spans="1:6" ht="15" customHeight="1" x14ac:dyDescent="0.2">
      <c r="A48" s="180" t="s">
        <v>78</v>
      </c>
      <c r="B48" s="177" t="s">
        <v>79</v>
      </c>
      <c r="C48" s="132">
        <f>+[5]BS17A!$D40</f>
        <v>18</v>
      </c>
      <c r="D48" s="26">
        <f>+[5]BS17A!$U40</f>
        <v>1730</v>
      </c>
      <c r="E48" s="27">
        <f>+[5]BS17A!$V40</f>
        <v>31140</v>
      </c>
      <c r="F48" s="21"/>
    </row>
    <row r="49" spans="1:7" ht="15" customHeight="1" x14ac:dyDescent="0.2">
      <c r="A49" s="181" t="s">
        <v>80</v>
      </c>
      <c r="B49" s="178" t="s">
        <v>81</v>
      </c>
      <c r="C49" s="142">
        <f>+[5]BS17A!$D41</f>
        <v>0</v>
      </c>
      <c r="D49" s="33">
        <f>+[5]BS17A!$U41</f>
        <v>1000</v>
      </c>
      <c r="E49" s="34">
        <f>+[5]BS17A!$V41</f>
        <v>0</v>
      </c>
      <c r="F49" s="21"/>
    </row>
    <row r="50" spans="1:7" ht="18" customHeight="1" x14ac:dyDescent="0.2">
      <c r="A50" s="35"/>
      <c r="B50" s="157" t="s">
        <v>82</v>
      </c>
      <c r="C50" s="35">
        <f>SUM(C14:C49)</f>
        <v>18274</v>
      </c>
      <c r="D50" s="36"/>
      <c r="E50" s="37">
        <f>SUM(E14:E49)</f>
        <v>122885280</v>
      </c>
      <c r="F50" s="21"/>
    </row>
    <row r="51" spans="1:7" ht="18" customHeight="1" x14ac:dyDescent="0.2">
      <c r="A51" s="38"/>
      <c r="B51" s="38"/>
      <c r="C51" s="38"/>
      <c r="D51" s="39"/>
      <c r="E51" s="40"/>
      <c r="F51" s="21"/>
    </row>
    <row r="52" spans="1:7" ht="12.75" x14ac:dyDescent="0.2">
      <c r="A52" s="21"/>
      <c r="B52" s="21"/>
      <c r="C52" s="21"/>
      <c r="D52" s="21"/>
      <c r="E52" s="21"/>
      <c r="F52" s="41"/>
      <c r="G52" s="42"/>
    </row>
    <row r="53" spans="1:7" ht="12.75" x14ac:dyDescent="0.2">
      <c r="A53" s="557" t="s">
        <v>83</v>
      </c>
      <c r="B53" s="558"/>
      <c r="C53" s="558"/>
      <c r="D53" s="558"/>
      <c r="E53" s="559"/>
      <c r="F53" s="41"/>
      <c r="G53" s="42"/>
    </row>
    <row r="54" spans="1:7" ht="42.75" customHeight="1" x14ac:dyDescent="0.2">
      <c r="A54" s="1" t="s">
        <v>8</v>
      </c>
      <c r="B54" s="1" t="s">
        <v>84</v>
      </c>
      <c r="C54" s="248" t="s">
        <v>10</v>
      </c>
      <c r="D54" s="4"/>
      <c r="E54" s="250" t="s">
        <v>12</v>
      </c>
      <c r="F54" s="21"/>
    </row>
    <row r="55" spans="1:7" ht="18" customHeight="1" x14ac:dyDescent="0.2">
      <c r="A55" s="253" t="s">
        <v>85</v>
      </c>
      <c r="B55" s="214" t="s">
        <v>86</v>
      </c>
      <c r="C55" s="68">
        <f>+[5]BS17!$D12</f>
        <v>63771</v>
      </c>
      <c r="D55" s="44"/>
      <c r="E55" s="45">
        <f>+E56+E57+E58+E59+E60+E61+E65+E66+E67</f>
        <v>89111440</v>
      </c>
      <c r="F55" s="21"/>
    </row>
    <row r="56" spans="1:7" ht="15" customHeight="1" x14ac:dyDescent="0.2">
      <c r="A56" s="212" t="s">
        <v>87</v>
      </c>
      <c r="B56" s="188" t="s">
        <v>88</v>
      </c>
      <c r="C56" s="172">
        <f>+[5]BS17!$D13</f>
        <v>23514</v>
      </c>
      <c r="D56" s="46"/>
      <c r="E56" s="47">
        <f>+[5]BS17A!V83</f>
        <v>24675880</v>
      </c>
      <c r="F56" s="21"/>
    </row>
    <row r="57" spans="1:7" ht="15" customHeight="1" x14ac:dyDescent="0.2">
      <c r="A57" s="180" t="s">
        <v>89</v>
      </c>
      <c r="B57" s="176" t="s">
        <v>90</v>
      </c>
      <c r="C57" s="132">
        <f>+[5]BS17!$D14</f>
        <v>28482</v>
      </c>
      <c r="D57" s="49"/>
      <c r="E57" s="50">
        <f>+[5]BS17A!V174</f>
        <v>33599390</v>
      </c>
      <c r="F57" s="21"/>
    </row>
    <row r="58" spans="1:7" ht="15" customHeight="1" x14ac:dyDescent="0.2">
      <c r="A58" s="180" t="s">
        <v>91</v>
      </c>
      <c r="B58" s="176" t="s">
        <v>92</v>
      </c>
      <c r="C58" s="132">
        <f>+[5]BS17!$D15</f>
        <v>1358</v>
      </c>
      <c r="D58" s="49"/>
      <c r="E58" s="50">
        <f>+[5]BS17A!V243</f>
        <v>4732260</v>
      </c>
      <c r="F58" s="21"/>
    </row>
    <row r="59" spans="1:7" ht="15" customHeight="1" x14ac:dyDescent="0.2">
      <c r="A59" s="180" t="s">
        <v>93</v>
      </c>
      <c r="B59" s="176" t="s">
        <v>94</v>
      </c>
      <c r="C59" s="132">
        <f>+[5]BS17!$D16</f>
        <v>0</v>
      </c>
      <c r="D59" s="49"/>
      <c r="E59" s="50">
        <f>+[5]BS17A!V289</f>
        <v>0</v>
      </c>
      <c r="F59" s="21"/>
    </row>
    <row r="60" spans="1:7" ht="15" customHeight="1" x14ac:dyDescent="0.2">
      <c r="A60" s="207" t="s">
        <v>95</v>
      </c>
      <c r="B60" s="195" t="s">
        <v>96</v>
      </c>
      <c r="C60" s="156">
        <f>+[5]BS17!$D17</f>
        <v>1508</v>
      </c>
      <c r="D60" s="51"/>
      <c r="E60" s="52">
        <f>+[5]BS17A!V295</f>
        <v>7156400</v>
      </c>
      <c r="F60" s="21"/>
    </row>
    <row r="61" spans="1:7" ht="15" customHeight="1" x14ac:dyDescent="0.2">
      <c r="A61" s="179" t="s">
        <v>97</v>
      </c>
      <c r="B61" s="215" t="s">
        <v>98</v>
      </c>
      <c r="C61" s="158">
        <f>+[5]BS17!$D18</f>
        <v>5747</v>
      </c>
      <c r="D61" s="53"/>
      <c r="E61" s="54">
        <f>SUM(E62:E64)</f>
        <v>14837770</v>
      </c>
      <c r="F61" s="21"/>
    </row>
    <row r="62" spans="1:7" ht="15" customHeight="1" x14ac:dyDescent="0.2">
      <c r="A62" s="218"/>
      <c r="B62" s="196" t="s">
        <v>99</v>
      </c>
      <c r="C62" s="135">
        <f>+[5]BS17!$D19</f>
        <v>4784</v>
      </c>
      <c r="D62" s="55"/>
      <c r="E62" s="56">
        <f>+[5]BS17A!V362</f>
        <v>10968510</v>
      </c>
      <c r="F62" s="21"/>
    </row>
    <row r="63" spans="1:7" ht="15" customHeight="1" x14ac:dyDescent="0.2">
      <c r="A63" s="218"/>
      <c r="B63" s="176" t="s">
        <v>100</v>
      </c>
      <c r="C63" s="132">
        <f>+[5]BS17!$D20</f>
        <v>60</v>
      </c>
      <c r="D63" s="49"/>
      <c r="E63" s="50">
        <f>+[5]BS17A!V405</f>
        <v>165510</v>
      </c>
      <c r="F63" s="21"/>
    </row>
    <row r="64" spans="1:7" ht="15" customHeight="1" x14ac:dyDescent="0.2">
      <c r="A64" s="219"/>
      <c r="B64" s="178" t="s">
        <v>101</v>
      </c>
      <c r="C64" s="142">
        <f>+[5]BS17!$D21</f>
        <v>903</v>
      </c>
      <c r="D64" s="57"/>
      <c r="E64" s="58">
        <f>+[5]BS17A!V428</f>
        <v>3703750</v>
      </c>
      <c r="F64" s="21"/>
    </row>
    <row r="65" spans="1:7" ht="15" customHeight="1" x14ac:dyDescent="0.2">
      <c r="A65" s="212" t="s">
        <v>102</v>
      </c>
      <c r="B65" s="211" t="s">
        <v>103</v>
      </c>
      <c r="C65" s="172">
        <f>+[5]BS17!$D22</f>
        <v>0</v>
      </c>
      <c r="D65" s="46"/>
      <c r="E65" s="47">
        <f>+[5]BS17A!V446</f>
        <v>0</v>
      </c>
      <c r="F65" s="21"/>
    </row>
    <row r="66" spans="1:7" ht="15" customHeight="1" x14ac:dyDescent="0.2">
      <c r="A66" s="180" t="s">
        <v>104</v>
      </c>
      <c r="B66" s="176" t="s">
        <v>105</v>
      </c>
      <c r="C66" s="132">
        <f>+[5]BS17!$D23</f>
        <v>98</v>
      </c>
      <c r="D66" s="49"/>
      <c r="E66" s="50">
        <f>+[5]BS17A!V456</f>
        <v>213420</v>
      </c>
      <c r="F66" s="21"/>
    </row>
    <row r="67" spans="1:7" ht="15" customHeight="1" x14ac:dyDescent="0.2">
      <c r="A67" s="207" t="s">
        <v>106</v>
      </c>
      <c r="B67" s="195" t="s">
        <v>107</v>
      </c>
      <c r="C67" s="156">
        <f>+[5]BS17!$D24</f>
        <v>3064</v>
      </c>
      <c r="D67" s="51"/>
      <c r="E67" s="52">
        <f>+[5]BS17A!V500</f>
        <v>3896320</v>
      </c>
      <c r="F67" s="21"/>
    </row>
    <row r="68" spans="1:7" ht="15" customHeight="1" x14ac:dyDescent="0.2">
      <c r="A68" s="220" t="s">
        <v>108</v>
      </c>
      <c r="B68" s="210" t="s">
        <v>109</v>
      </c>
      <c r="C68" s="173">
        <f>+[5]BS17!$D25</f>
        <v>4407</v>
      </c>
      <c r="D68" s="59"/>
      <c r="E68" s="60">
        <f>SUM(E69:E74)</f>
        <v>69287800</v>
      </c>
      <c r="F68" s="21"/>
    </row>
    <row r="69" spans="1:7" ht="15" customHeight="1" x14ac:dyDescent="0.2">
      <c r="A69" s="180" t="s">
        <v>110</v>
      </c>
      <c r="B69" s="176" t="s">
        <v>111</v>
      </c>
      <c r="C69" s="132">
        <f>+[5]BS17!$D26</f>
        <v>2856</v>
      </c>
      <c r="D69" s="49"/>
      <c r="E69" s="50">
        <f>+[5]BS17A!V535</f>
        <v>22786970</v>
      </c>
      <c r="F69" s="21"/>
    </row>
    <row r="70" spans="1:7" ht="15" customHeight="1" x14ac:dyDescent="0.2">
      <c r="A70" s="180" t="s">
        <v>112</v>
      </c>
      <c r="B70" s="176" t="s">
        <v>113</v>
      </c>
      <c r="C70" s="132">
        <f>+[5]BS17!$D27</f>
        <v>11</v>
      </c>
      <c r="D70" s="49"/>
      <c r="E70" s="50">
        <f>+[5]BS17A!V590</f>
        <v>415910</v>
      </c>
      <c r="F70" s="21"/>
    </row>
    <row r="71" spans="1:7" ht="15" customHeight="1" x14ac:dyDescent="0.2">
      <c r="A71" s="180" t="s">
        <v>114</v>
      </c>
      <c r="B71" s="176" t="s">
        <v>115</v>
      </c>
      <c r="C71" s="132">
        <f>+[5]BS17!$D28</f>
        <v>699</v>
      </c>
      <c r="D71" s="49"/>
      <c r="E71" s="50">
        <f>+[5]BS17A!V615</f>
        <v>35275340</v>
      </c>
      <c r="F71" s="21"/>
    </row>
    <row r="72" spans="1:7" ht="15" customHeight="1" x14ac:dyDescent="0.2">
      <c r="A72" s="180" t="s">
        <v>116</v>
      </c>
      <c r="B72" s="176" t="s">
        <v>117</v>
      </c>
      <c r="C72" s="132">
        <f>+[5]BS17!$D30+[5]BS17!$D32</f>
        <v>633</v>
      </c>
      <c r="D72" s="49"/>
      <c r="E72" s="50">
        <f>+[5]BS17A!V633-[5]BS17A!V634</f>
        <v>9750860</v>
      </c>
      <c r="F72" s="21"/>
    </row>
    <row r="73" spans="1:7" ht="15" customHeight="1" x14ac:dyDescent="0.2">
      <c r="A73" s="221"/>
      <c r="B73" s="176" t="s">
        <v>118</v>
      </c>
      <c r="C73" s="132">
        <f>+[5]BS17!$D31</f>
        <v>208</v>
      </c>
      <c r="D73" s="49"/>
      <c r="E73" s="50">
        <f>+[5]BS17A!V634</f>
        <v>1058720</v>
      </c>
      <c r="F73" s="21"/>
    </row>
    <row r="74" spans="1:7" ht="15" customHeight="1" x14ac:dyDescent="0.2">
      <c r="A74" s="222" t="s">
        <v>119</v>
      </c>
      <c r="B74" s="216" t="s">
        <v>120</v>
      </c>
      <c r="C74" s="163">
        <f>+[5]BS17!$D33</f>
        <v>0</v>
      </c>
      <c r="D74" s="139"/>
      <c r="E74" s="140">
        <f>+[5]BS17A!V654</f>
        <v>0</v>
      </c>
      <c r="F74" s="21"/>
    </row>
    <row r="75" spans="1:7" ht="15" customHeight="1" x14ac:dyDescent="0.2">
      <c r="A75" s="223" t="s">
        <v>121</v>
      </c>
      <c r="B75" s="217" t="s">
        <v>122</v>
      </c>
      <c r="C75" s="174">
        <f>+[5]BS17!$D34</f>
        <v>0</v>
      </c>
      <c r="D75" s="61"/>
      <c r="E75" s="62">
        <f>+[5]BS17A!V783</f>
        <v>0</v>
      </c>
      <c r="F75" s="21"/>
    </row>
    <row r="76" spans="1:7" ht="15" customHeight="1" x14ac:dyDescent="0.2">
      <c r="A76" s="182"/>
      <c r="B76" s="252" t="s">
        <v>123</v>
      </c>
      <c r="C76" s="68">
        <f>+C55+C68+C75</f>
        <v>68178</v>
      </c>
      <c r="D76" s="44"/>
      <c r="E76" s="64">
        <f>+E55+E68+E75</f>
        <v>158399240</v>
      </c>
      <c r="F76" s="21"/>
    </row>
    <row r="77" spans="1:7" ht="12.75" x14ac:dyDescent="0.2">
      <c r="A77" s="21"/>
      <c r="B77" s="21"/>
      <c r="C77" s="21"/>
      <c r="D77" s="21"/>
      <c r="E77" s="21"/>
      <c r="F77" s="41"/>
      <c r="G77" s="42"/>
    </row>
    <row r="78" spans="1:7" ht="12.75" x14ac:dyDescent="0.2">
      <c r="A78" s="21"/>
      <c r="B78" s="21"/>
      <c r="C78" s="21"/>
      <c r="D78" s="21"/>
      <c r="E78" s="21"/>
      <c r="F78" s="41"/>
      <c r="G78" s="42"/>
    </row>
    <row r="79" spans="1:7" ht="12.75" x14ac:dyDescent="0.2">
      <c r="A79" s="549" t="s">
        <v>124</v>
      </c>
      <c r="B79" s="550"/>
      <c r="C79" s="550"/>
      <c r="D79" s="550"/>
      <c r="E79" s="551"/>
      <c r="F79" s="41"/>
      <c r="G79" s="42"/>
    </row>
    <row r="80" spans="1:7" ht="45" customHeight="1" x14ac:dyDescent="0.2">
      <c r="A80" s="1" t="s">
        <v>8</v>
      </c>
      <c r="B80" s="249" t="s">
        <v>9</v>
      </c>
      <c r="C80" s="2" t="s">
        <v>10</v>
      </c>
      <c r="D80" s="4"/>
      <c r="E80" s="5" t="s">
        <v>12</v>
      </c>
      <c r="F80" s="41"/>
      <c r="G80" s="42"/>
    </row>
    <row r="81" spans="1:6" ht="15" customHeight="1" x14ac:dyDescent="0.2">
      <c r="A81" s="213" t="s">
        <v>125</v>
      </c>
      <c r="B81" s="188" t="s">
        <v>126</v>
      </c>
      <c r="C81" s="135">
        <f>+[5]BS17!D49</f>
        <v>0</v>
      </c>
      <c r="D81" s="46"/>
      <c r="E81" s="65">
        <f>+SUM([5]BS17A!V673+[5]BS17A!V719)</f>
        <v>0</v>
      </c>
      <c r="F81" s="21"/>
    </row>
    <row r="82" spans="1:6" ht="15" customHeight="1" x14ac:dyDescent="0.2">
      <c r="A82" s="202">
        <v>2001</v>
      </c>
      <c r="B82" s="176" t="s">
        <v>127</v>
      </c>
      <c r="C82" s="132">
        <f>+[5]BS17!E130</f>
        <v>1105</v>
      </c>
      <c r="D82" s="49"/>
      <c r="E82" s="66">
        <f>+[5]BS17A!V1574</f>
        <v>10427140</v>
      </c>
      <c r="F82" s="21"/>
    </row>
    <row r="83" spans="1:6" ht="15" customHeight="1" x14ac:dyDescent="0.2">
      <c r="A83" s="207" t="s">
        <v>128</v>
      </c>
      <c r="B83" s="195" t="s">
        <v>129</v>
      </c>
      <c r="C83" s="156">
        <f>+[5]BS17A!D1849</f>
        <v>40</v>
      </c>
      <c r="D83" s="51"/>
      <c r="E83" s="67">
        <f>+[5]BS17A!V1849</f>
        <v>2660200</v>
      </c>
      <c r="F83" s="21"/>
    </row>
    <row r="84" spans="1:6" ht="17.25" customHeight="1" x14ac:dyDescent="0.2">
      <c r="A84" s="182"/>
      <c r="B84" s="252" t="s">
        <v>130</v>
      </c>
      <c r="C84" s="68">
        <f>+SUM(C81:C83)</f>
        <v>1145</v>
      </c>
      <c r="D84" s="44"/>
      <c r="E84" s="69">
        <f>SUM(E81:E83)</f>
        <v>13087340</v>
      </c>
      <c r="F84" s="21"/>
    </row>
    <row r="85" spans="1:6" ht="12.75" x14ac:dyDescent="0.2">
      <c r="A85" s="21"/>
      <c r="B85" s="21"/>
      <c r="C85" s="21"/>
      <c r="D85" s="21"/>
      <c r="E85" s="21"/>
      <c r="F85" s="21"/>
    </row>
    <row r="86" spans="1:6" ht="12.75" x14ac:dyDescent="0.2">
      <c r="A86" s="21"/>
      <c r="B86" s="21"/>
      <c r="C86" s="21"/>
      <c r="D86" s="21"/>
      <c r="E86" s="21"/>
      <c r="F86" s="18"/>
    </row>
    <row r="87" spans="1:6" ht="12.75" x14ac:dyDescent="0.15">
      <c r="A87" s="567" t="s">
        <v>131</v>
      </c>
      <c r="B87" s="568"/>
      <c r="C87" s="568"/>
      <c r="D87" s="568"/>
      <c r="E87" s="568"/>
      <c r="F87" s="569"/>
    </row>
    <row r="88" spans="1:6" ht="33.75" customHeight="1" x14ac:dyDescent="0.15">
      <c r="A88" s="570" t="s">
        <v>8</v>
      </c>
      <c r="B88" s="570" t="s">
        <v>9</v>
      </c>
      <c r="C88" s="552" t="s">
        <v>10</v>
      </c>
      <c r="D88" s="553"/>
      <c r="E88" s="553"/>
      <c r="F88" s="554"/>
    </row>
    <row r="89" spans="1:6" ht="45" customHeight="1" x14ac:dyDescent="0.15">
      <c r="A89" s="571"/>
      <c r="B89" s="571"/>
      <c r="C89" s="249" t="s">
        <v>132</v>
      </c>
      <c r="D89" s="7" t="s">
        <v>133</v>
      </c>
      <c r="E89" s="3" t="s">
        <v>134</v>
      </c>
      <c r="F89" s="250" t="s">
        <v>12</v>
      </c>
    </row>
    <row r="90" spans="1:6" ht="15" customHeight="1" x14ac:dyDescent="0.2">
      <c r="A90" s="179" t="s">
        <v>135</v>
      </c>
      <c r="B90" s="175" t="s">
        <v>136</v>
      </c>
      <c r="C90" s="166">
        <f>+[5]BS17!F68</f>
        <v>0</v>
      </c>
      <c r="D90" s="70">
        <f>+[5]BS17!G68</f>
        <v>0</v>
      </c>
      <c r="E90" s="71">
        <f>+[5]BS17!H68</f>
        <v>0</v>
      </c>
      <c r="F90" s="72">
        <f>[5]BS17A!V811</f>
        <v>0</v>
      </c>
    </row>
    <row r="91" spans="1:6" ht="15" customHeight="1" x14ac:dyDescent="0.2">
      <c r="A91" s="180" t="s">
        <v>137</v>
      </c>
      <c r="B91" s="176" t="s">
        <v>138</v>
      </c>
      <c r="C91" s="167">
        <f>+[5]BS17!F69</f>
        <v>221</v>
      </c>
      <c r="D91" s="73">
        <f>+[5]BS17!G69</f>
        <v>0</v>
      </c>
      <c r="E91" s="74">
        <f>+[5]BS17!H69</f>
        <v>0</v>
      </c>
      <c r="F91" s="75">
        <f>[5]BS17A!V882</f>
        <v>49914690</v>
      </c>
    </row>
    <row r="92" spans="1:6" ht="15" customHeight="1" x14ac:dyDescent="0.2">
      <c r="A92" s="180" t="s">
        <v>139</v>
      </c>
      <c r="B92" s="176" t="s">
        <v>140</v>
      </c>
      <c r="C92" s="167">
        <f>+[5]BS17!F70</f>
        <v>32</v>
      </c>
      <c r="D92" s="73">
        <f>+[5]BS17!G70</f>
        <v>3</v>
      </c>
      <c r="E92" s="74">
        <f>+[5]BS17!H70</f>
        <v>0</v>
      </c>
      <c r="F92" s="75">
        <f>[5]BS17A!V961</f>
        <v>2537405</v>
      </c>
    </row>
    <row r="93" spans="1:6" ht="15" customHeight="1" x14ac:dyDescent="0.2">
      <c r="A93" s="180" t="s">
        <v>141</v>
      </c>
      <c r="B93" s="176" t="s">
        <v>142</v>
      </c>
      <c r="C93" s="167">
        <f>+[5]BS17!F71</f>
        <v>9</v>
      </c>
      <c r="D93" s="73">
        <f>+[5]BS17!G71</f>
        <v>0</v>
      </c>
      <c r="E93" s="74">
        <f>+[5]BS17!H71</f>
        <v>0</v>
      </c>
      <c r="F93" s="75">
        <f>[5]BS17A!V1037</f>
        <v>785810</v>
      </c>
    </row>
    <row r="94" spans="1:6" ht="15" customHeight="1" x14ac:dyDescent="0.2">
      <c r="A94" s="180" t="s">
        <v>143</v>
      </c>
      <c r="B94" s="176" t="s">
        <v>144</v>
      </c>
      <c r="C94" s="167">
        <f>+[5]BS17!F72</f>
        <v>73</v>
      </c>
      <c r="D94" s="73">
        <f>+[5]BS17!G72</f>
        <v>3</v>
      </c>
      <c r="E94" s="74">
        <f>+[5]BS17!H72</f>
        <v>0</v>
      </c>
      <c r="F94" s="75">
        <f>[5]BS17A!V1098</f>
        <v>4274380</v>
      </c>
    </row>
    <row r="95" spans="1:6" ht="15" customHeight="1" x14ac:dyDescent="0.2">
      <c r="A95" s="180" t="s">
        <v>145</v>
      </c>
      <c r="B95" s="176" t="s">
        <v>146</v>
      </c>
      <c r="C95" s="167">
        <f>+[5]BS17!F73</f>
        <v>132</v>
      </c>
      <c r="D95" s="73">
        <f>+[5]BS17!G73</f>
        <v>4</v>
      </c>
      <c r="E95" s="74">
        <f>+[5]BS17!H73</f>
        <v>0</v>
      </c>
      <c r="F95" s="75">
        <f>[5]BS17A!V1166</f>
        <v>4044650</v>
      </c>
    </row>
    <row r="96" spans="1:6" ht="15" customHeight="1" x14ac:dyDescent="0.2">
      <c r="A96" s="180" t="s">
        <v>147</v>
      </c>
      <c r="B96" s="176" t="s">
        <v>148</v>
      </c>
      <c r="C96" s="167">
        <f>+[5]BS17!F74</f>
        <v>2</v>
      </c>
      <c r="D96" s="73">
        <f>+[5]BS17!G74</f>
        <v>1</v>
      </c>
      <c r="E96" s="74">
        <f>+[5]BS17!H74</f>
        <v>0</v>
      </c>
      <c r="F96" s="75">
        <f>[5]BS17A!V1221</f>
        <v>475170</v>
      </c>
    </row>
    <row r="97" spans="1:6" ht="15" customHeight="1" x14ac:dyDescent="0.2">
      <c r="A97" s="180" t="s">
        <v>149</v>
      </c>
      <c r="B97" s="176" t="s">
        <v>150</v>
      </c>
      <c r="C97" s="167">
        <f>+[5]BS17!F75</f>
        <v>1</v>
      </c>
      <c r="D97" s="73">
        <f>+[5]BS17!G75</f>
        <v>0</v>
      </c>
      <c r="E97" s="74">
        <f>+[5]BS17!H75</f>
        <v>0</v>
      </c>
      <c r="F97" s="75">
        <f>[5]BS17A!V1287</f>
        <v>52610</v>
      </c>
    </row>
    <row r="98" spans="1:6" ht="15" customHeight="1" x14ac:dyDescent="0.2">
      <c r="A98" s="180" t="s">
        <v>151</v>
      </c>
      <c r="B98" s="176" t="s">
        <v>152</v>
      </c>
      <c r="C98" s="167">
        <f>+[5]BS17!F76</f>
        <v>140</v>
      </c>
      <c r="D98" s="73">
        <f>+[5]BS17!G76</f>
        <v>28</v>
      </c>
      <c r="E98" s="74">
        <f>+[5]BS17!H76</f>
        <v>0</v>
      </c>
      <c r="F98" s="75">
        <f>[5]BS17A!V1357</f>
        <v>34038595</v>
      </c>
    </row>
    <row r="99" spans="1:6" ht="15" customHeight="1" x14ac:dyDescent="0.2">
      <c r="A99" s="180" t="s">
        <v>153</v>
      </c>
      <c r="B99" s="176" t="s">
        <v>154</v>
      </c>
      <c r="C99" s="167">
        <f>+[5]BS17!F77</f>
        <v>12</v>
      </c>
      <c r="D99" s="73">
        <f>+[5]BS17!G77</f>
        <v>1</v>
      </c>
      <c r="E99" s="74">
        <f>+[5]BS17!H77</f>
        <v>0</v>
      </c>
      <c r="F99" s="75">
        <f>[5]BS17A!V1441</f>
        <v>1199175</v>
      </c>
    </row>
    <row r="100" spans="1:6" ht="15" customHeight="1" x14ac:dyDescent="0.2">
      <c r="A100" s="180" t="s">
        <v>155</v>
      </c>
      <c r="B100" s="176" t="s">
        <v>156</v>
      </c>
      <c r="C100" s="167">
        <f>+[5]BS17!F78</f>
        <v>37</v>
      </c>
      <c r="D100" s="73">
        <f>+[5]BS17!G78</f>
        <v>7</v>
      </c>
      <c r="E100" s="74">
        <f>+[5]BS17!H78</f>
        <v>0</v>
      </c>
      <c r="F100" s="75">
        <f>[5]BS17A!V1489</f>
        <v>6871635</v>
      </c>
    </row>
    <row r="101" spans="1:6" ht="15" customHeight="1" x14ac:dyDescent="0.2">
      <c r="A101" s="180" t="s">
        <v>157</v>
      </c>
      <c r="B101" s="176" t="s">
        <v>158</v>
      </c>
      <c r="C101" s="167">
        <f>+[5]BS17!F79</f>
        <v>8</v>
      </c>
      <c r="D101" s="73">
        <f>+[5]BS17!G79</f>
        <v>0</v>
      </c>
      <c r="E101" s="74">
        <f>+[5]BS17!H79</f>
        <v>0</v>
      </c>
      <c r="F101" s="75">
        <f>[5]BS17A!V1592</f>
        <v>1599760</v>
      </c>
    </row>
    <row r="102" spans="1:6" ht="15" customHeight="1" x14ac:dyDescent="0.2">
      <c r="A102" s="207" t="s">
        <v>159</v>
      </c>
      <c r="B102" s="195" t="s">
        <v>160</v>
      </c>
      <c r="C102" s="168">
        <f>+[5]BS17!F80</f>
        <v>49</v>
      </c>
      <c r="D102" s="76">
        <f>+[5]BS17!G80</f>
        <v>8</v>
      </c>
      <c r="E102" s="77">
        <f>+[5]BS17!H80</f>
        <v>0</v>
      </c>
      <c r="F102" s="78">
        <f>[5]BS17A!V1597</f>
        <v>9927120</v>
      </c>
    </row>
    <row r="103" spans="1:6" ht="15" customHeight="1" x14ac:dyDescent="0.2">
      <c r="A103" s="179" t="s">
        <v>161</v>
      </c>
      <c r="B103" s="175" t="s">
        <v>162</v>
      </c>
      <c r="C103" s="166">
        <f>+[5]BS17!F81</f>
        <v>58</v>
      </c>
      <c r="D103" s="70">
        <f>+[5]BS17!G81</f>
        <v>0</v>
      </c>
      <c r="E103" s="71">
        <f>+[5]BS17!H81</f>
        <v>0</v>
      </c>
      <c r="F103" s="72">
        <f>+[5]BS17A!V1631</f>
        <v>6629140</v>
      </c>
    </row>
    <row r="104" spans="1:6" ht="15" customHeight="1" x14ac:dyDescent="0.2">
      <c r="A104" s="180"/>
      <c r="B104" s="176" t="s">
        <v>163</v>
      </c>
      <c r="C104" s="167">
        <f>+[5]BS17A!D1635</f>
        <v>0</v>
      </c>
      <c r="D104" s="73">
        <f>+[5]BS17A!F1635</f>
        <v>0</v>
      </c>
      <c r="E104" s="74">
        <f>+[5]BS17A!G1635</f>
        <v>0</v>
      </c>
      <c r="F104" s="75">
        <f>+[5]BS17A!V1635</f>
        <v>0</v>
      </c>
    </row>
    <row r="105" spans="1:6" ht="15" customHeight="1" x14ac:dyDescent="0.2">
      <c r="A105" s="180"/>
      <c r="B105" s="176" t="s">
        <v>164</v>
      </c>
      <c r="C105" s="167">
        <f>+[5]BS17A!D1634</f>
        <v>31</v>
      </c>
      <c r="D105" s="73">
        <f>+[5]BS17A!F1634</f>
        <v>0</v>
      </c>
      <c r="E105" s="74">
        <f>+[5]BS17A!G1634</f>
        <v>0</v>
      </c>
      <c r="F105" s="75">
        <f>+[5]BS17A!V1634</f>
        <v>3997450</v>
      </c>
    </row>
    <row r="106" spans="1:6" ht="15" customHeight="1" x14ac:dyDescent="0.2">
      <c r="A106" s="181"/>
      <c r="B106" s="189" t="s">
        <v>165</v>
      </c>
      <c r="C106" s="169">
        <f>+[5]BS17A!D1632+[5]BS17A!D1633</f>
        <v>27</v>
      </c>
      <c r="D106" s="80">
        <f>+[5]BS17A!F1632+[5]BS17A!F1633</f>
        <v>0</v>
      </c>
      <c r="E106" s="81">
        <f>+[5]BS17A!G1632+[5]BS17A!G1633</f>
        <v>0</v>
      </c>
      <c r="F106" s="82">
        <f>+[5]BS17A!V1632+[5]BS17A!V1633</f>
        <v>2631690</v>
      </c>
    </row>
    <row r="107" spans="1:6" ht="15" customHeight="1" x14ac:dyDescent="0.2">
      <c r="A107" s="212" t="s">
        <v>166</v>
      </c>
      <c r="B107" s="211" t="s">
        <v>167</v>
      </c>
      <c r="C107" s="170">
        <f>+[5]BS17!F82</f>
        <v>50</v>
      </c>
      <c r="D107" s="83">
        <f>+[5]BS17!G82</f>
        <v>0</v>
      </c>
      <c r="E107" s="84">
        <f>+[5]BS17!H82</f>
        <v>0</v>
      </c>
      <c r="F107" s="85">
        <f>+[5]BS17A!V1639</f>
        <v>9432610</v>
      </c>
    </row>
    <row r="108" spans="1:6" ht="15" customHeight="1" x14ac:dyDescent="0.2">
      <c r="A108" s="208">
        <v>2106</v>
      </c>
      <c r="B108" s="189" t="s">
        <v>168</v>
      </c>
      <c r="C108" s="169">
        <f>[5]BS17A!D1845</f>
        <v>5</v>
      </c>
      <c r="D108" s="80">
        <f>[5]BS17A!F1845</f>
        <v>0</v>
      </c>
      <c r="E108" s="81">
        <f>[5]BS17A!G1845</f>
        <v>0</v>
      </c>
      <c r="F108" s="82">
        <f>+[5]BS17A!V1845</f>
        <v>323400</v>
      </c>
    </row>
    <row r="109" spans="1:6" ht="15" customHeight="1" x14ac:dyDescent="0.2">
      <c r="A109" s="187"/>
      <c r="B109" s="186" t="s">
        <v>169</v>
      </c>
      <c r="C109" s="171">
        <f>SUM(C90:C108)-C103</f>
        <v>829</v>
      </c>
      <c r="D109" s="87">
        <f>SUM(D90:D108)-D103</f>
        <v>55</v>
      </c>
      <c r="E109" s="88">
        <f>+SUM(E90:E103)+E107+E108</f>
        <v>0</v>
      </c>
      <c r="F109" s="89">
        <f>+SUM(F90:F103)+F107+F108</f>
        <v>132106150</v>
      </c>
    </row>
    <row r="110" spans="1:6" ht="12.75" x14ac:dyDescent="0.2">
      <c r="A110" s="21"/>
      <c r="B110" s="21"/>
      <c r="C110" s="21"/>
      <c r="D110" s="21"/>
      <c r="E110" s="21"/>
      <c r="F110" s="18"/>
    </row>
    <row r="111" spans="1:6" ht="12.75" x14ac:dyDescent="0.2">
      <c r="A111" s="21"/>
      <c r="B111" s="21"/>
      <c r="C111" s="21"/>
      <c r="D111" s="21"/>
      <c r="E111" s="21"/>
      <c r="F111" s="18"/>
    </row>
    <row r="112" spans="1:6" ht="12.75" x14ac:dyDescent="0.2">
      <c r="A112" s="549" t="s">
        <v>170</v>
      </c>
      <c r="B112" s="550"/>
      <c r="C112" s="550"/>
      <c r="D112" s="550"/>
      <c r="E112" s="551"/>
      <c r="F112" s="18"/>
    </row>
    <row r="113" spans="1:6" ht="49.5" customHeight="1" x14ac:dyDescent="0.2">
      <c r="A113" s="1" t="s">
        <v>8</v>
      </c>
      <c r="B113" s="1" t="s">
        <v>9</v>
      </c>
      <c r="C113" s="248" t="s">
        <v>10</v>
      </c>
      <c r="D113" s="3" t="s">
        <v>11</v>
      </c>
      <c r="E113" s="250" t="s">
        <v>12</v>
      </c>
      <c r="F113" s="18"/>
    </row>
    <row r="114" spans="1:6" ht="15" customHeight="1" x14ac:dyDescent="0.2">
      <c r="A114" s="179" t="s">
        <v>171</v>
      </c>
      <c r="B114" s="175" t="s">
        <v>172</v>
      </c>
      <c r="C114" s="135">
        <f>+[5]BS17A!D1636</f>
        <v>102</v>
      </c>
      <c r="D114" s="90">
        <f>+[5]BS17A!U1636</f>
        <v>128940</v>
      </c>
      <c r="E114" s="91">
        <f>+[5]BS17A!V1636</f>
        <v>13151880</v>
      </c>
      <c r="F114" s="21"/>
    </row>
    <row r="115" spans="1:6" ht="15" customHeight="1" x14ac:dyDescent="0.2">
      <c r="A115" s="181" t="s">
        <v>173</v>
      </c>
      <c r="B115" s="205" t="s">
        <v>174</v>
      </c>
      <c r="C115" s="156">
        <f>+[5]BS17A!D1637</f>
        <v>3</v>
      </c>
      <c r="D115" s="92">
        <f>+[5]BS17A!U1637</f>
        <v>135670</v>
      </c>
      <c r="E115" s="67">
        <f>+[5]BS17A!V1637</f>
        <v>407010</v>
      </c>
      <c r="F115" s="21"/>
    </row>
    <row r="116" spans="1:6" ht="15" customHeight="1" x14ac:dyDescent="0.2">
      <c r="A116" s="68"/>
      <c r="B116" s="141" t="s">
        <v>175</v>
      </c>
      <c r="C116" s="68">
        <f>SUM(C114:C115)</f>
        <v>105</v>
      </c>
      <c r="D116" s="44"/>
      <c r="E116" s="69">
        <f>SUM(E114:E115)</f>
        <v>13558890</v>
      </c>
      <c r="F116" s="21"/>
    </row>
    <row r="117" spans="1:6" ht="12.75" x14ac:dyDescent="0.2">
      <c r="A117" s="21"/>
      <c r="B117" s="21"/>
      <c r="C117" s="21"/>
      <c r="D117" s="21"/>
      <c r="E117" s="21"/>
      <c r="F117" s="21"/>
    </row>
    <row r="118" spans="1:6" ht="12.75" x14ac:dyDescent="0.2">
      <c r="A118" s="21"/>
      <c r="B118" s="21"/>
      <c r="C118" s="21"/>
      <c r="D118" s="21"/>
      <c r="E118" s="21"/>
      <c r="F118" s="18"/>
    </row>
    <row r="119" spans="1:6" ht="12.75" x14ac:dyDescent="0.2">
      <c r="A119" s="566" t="s">
        <v>176</v>
      </c>
      <c r="B119" s="566"/>
      <c r="C119" s="566"/>
      <c r="D119" s="21"/>
      <c r="E119" s="21"/>
      <c r="F119" s="18"/>
    </row>
    <row r="120" spans="1:6" ht="38.25" customHeight="1" x14ac:dyDescent="0.2">
      <c r="A120" s="1" t="s">
        <v>8</v>
      </c>
      <c r="B120" s="1" t="s">
        <v>10</v>
      </c>
      <c r="C120" s="1" t="s">
        <v>12</v>
      </c>
      <c r="D120" s="21"/>
      <c r="E120" s="21"/>
      <c r="F120" s="21"/>
    </row>
    <row r="121" spans="1:6" ht="15" customHeight="1" x14ac:dyDescent="0.2">
      <c r="A121" s="93" t="s">
        <v>177</v>
      </c>
      <c r="B121" s="94" t="s">
        <v>178</v>
      </c>
      <c r="C121" s="95">
        <f>+[5]BS17A!V1871+[5]BS17A!V1889+[5]BS17A!V1914</f>
        <v>15664060</v>
      </c>
      <c r="D121" s="21"/>
      <c r="E121" s="21"/>
      <c r="F121" s="21"/>
    </row>
    <row r="122" spans="1:6" ht="12.75" x14ac:dyDescent="0.2">
      <c r="A122" s="21"/>
      <c r="B122" s="21"/>
      <c r="C122" s="21"/>
      <c r="D122" s="21"/>
      <c r="E122" s="18"/>
      <c r="F122" s="21"/>
    </row>
    <row r="123" spans="1:6" ht="12.75" x14ac:dyDescent="0.2">
      <c r="A123" s="21"/>
      <c r="B123" s="21"/>
      <c r="C123" s="21"/>
      <c r="D123" s="21"/>
      <c r="E123" s="18"/>
      <c r="F123" s="21"/>
    </row>
    <row r="124" spans="1:6" ht="12.75" x14ac:dyDescent="0.2">
      <c r="A124" s="549" t="s">
        <v>179</v>
      </c>
      <c r="B124" s="550"/>
      <c r="C124" s="550"/>
      <c r="D124" s="550"/>
      <c r="E124" s="551"/>
      <c r="F124" s="18"/>
    </row>
    <row r="125" spans="1:6" ht="45.75" customHeight="1" x14ac:dyDescent="0.2">
      <c r="A125" s="1" t="s">
        <v>8</v>
      </c>
      <c r="B125" s="1" t="s">
        <v>9</v>
      </c>
      <c r="C125" s="248" t="s">
        <v>10</v>
      </c>
      <c r="D125" s="3" t="s">
        <v>11</v>
      </c>
      <c r="E125" s="250" t="s">
        <v>12</v>
      </c>
      <c r="F125" s="18"/>
    </row>
    <row r="126" spans="1:6" ht="15" customHeight="1" x14ac:dyDescent="0.2">
      <c r="A126" s="179" t="s">
        <v>180</v>
      </c>
      <c r="B126" s="196" t="s">
        <v>181</v>
      </c>
      <c r="C126" s="135">
        <f>+[5]BS17A!$D59</f>
        <v>5336</v>
      </c>
      <c r="D126" s="31">
        <f>+[5]BS17A!$U59</f>
        <v>33020</v>
      </c>
      <c r="E126" s="96">
        <f>+[5]BS17A!$V59</f>
        <v>176194720</v>
      </c>
      <c r="F126" s="21"/>
    </row>
    <row r="127" spans="1:6" ht="15" customHeight="1" x14ac:dyDescent="0.2">
      <c r="A127" s="180" t="s">
        <v>182</v>
      </c>
      <c r="B127" s="177" t="s">
        <v>183</v>
      </c>
      <c r="C127" s="132">
        <f>+[5]BS17A!$D60</f>
        <v>0</v>
      </c>
      <c r="D127" s="26">
        <f>+[5]BS17A!$U60</f>
        <v>30400</v>
      </c>
      <c r="E127" s="97">
        <f>+[5]BS17A!$V60</f>
        <v>0</v>
      </c>
      <c r="F127" s="21"/>
    </row>
    <row r="128" spans="1:6" ht="15" customHeight="1" x14ac:dyDescent="0.2">
      <c r="A128" s="180" t="s">
        <v>184</v>
      </c>
      <c r="B128" s="177" t="s">
        <v>185</v>
      </c>
      <c r="C128" s="132">
        <f>+[5]BS17A!$D61</f>
        <v>0</v>
      </c>
      <c r="D128" s="26">
        <f>+[5]BS17A!$U61</f>
        <v>25340</v>
      </c>
      <c r="E128" s="97">
        <f>+[5]BS17A!$V61</f>
        <v>0</v>
      </c>
      <c r="F128" s="21"/>
    </row>
    <row r="129" spans="1:6" ht="15" customHeight="1" x14ac:dyDescent="0.2">
      <c r="A129" s="180" t="s">
        <v>186</v>
      </c>
      <c r="B129" s="177" t="s">
        <v>187</v>
      </c>
      <c r="C129" s="132">
        <f>SUM([5]BS17A!D62:D64)</f>
        <v>224</v>
      </c>
      <c r="D129" s="26">
        <f>+[5]BS17A!$U62</f>
        <v>137290</v>
      </c>
      <c r="E129" s="97">
        <f>SUM([5]BS17A!V62:V64)</f>
        <v>30752960</v>
      </c>
      <c r="F129" s="21"/>
    </row>
    <row r="130" spans="1:6" ht="15" customHeight="1" x14ac:dyDescent="0.2">
      <c r="A130" s="180" t="s">
        <v>188</v>
      </c>
      <c r="B130" s="177" t="s">
        <v>189</v>
      </c>
      <c r="C130" s="132">
        <f>SUM([5]BS17A!D65:D67)</f>
        <v>216</v>
      </c>
      <c r="D130" s="26">
        <f>+[5]BS17A!$U65</f>
        <v>66300</v>
      </c>
      <c r="E130" s="97">
        <f>SUM([5]BS17A!V65:V67)</f>
        <v>14320800</v>
      </c>
      <c r="F130" s="21"/>
    </row>
    <row r="131" spans="1:6" ht="15" customHeight="1" x14ac:dyDescent="0.2">
      <c r="A131" s="180" t="s">
        <v>190</v>
      </c>
      <c r="B131" s="177" t="s">
        <v>191</v>
      </c>
      <c r="C131" s="132">
        <f>+[5]BS17A!D68</f>
        <v>187</v>
      </c>
      <c r="D131" s="26">
        <f>+[5]BS17A!$U68</f>
        <v>59490</v>
      </c>
      <c r="E131" s="97">
        <f>+[5]BS17A!$V68</f>
        <v>11124630</v>
      </c>
      <c r="F131" s="21"/>
    </row>
    <row r="132" spans="1:6" ht="15" customHeight="1" x14ac:dyDescent="0.2">
      <c r="A132" s="180" t="s">
        <v>192</v>
      </c>
      <c r="B132" s="177" t="s">
        <v>193</v>
      </c>
      <c r="C132" s="132">
        <f>+[5]BS17A!$D69</f>
        <v>0</v>
      </c>
      <c r="D132" s="26">
        <f>+[5]BS17A!$U69</f>
        <v>16880</v>
      </c>
      <c r="E132" s="97">
        <f>+[5]BS17A!$V69</f>
        <v>0</v>
      </c>
      <c r="F132" s="21"/>
    </row>
    <row r="133" spans="1:6" ht="15" customHeight="1" x14ac:dyDescent="0.2">
      <c r="A133" s="180" t="s">
        <v>194</v>
      </c>
      <c r="B133" s="177" t="s">
        <v>195</v>
      </c>
      <c r="C133" s="132">
        <f>+[5]BS17A!$D70</f>
        <v>0</v>
      </c>
      <c r="D133" s="26">
        <f>+[5]BS17A!$U70</f>
        <v>26450</v>
      </c>
      <c r="E133" s="97">
        <f>+[5]BS17A!$V70</f>
        <v>0</v>
      </c>
      <c r="F133" s="21"/>
    </row>
    <row r="134" spans="1:6" ht="15" customHeight="1" x14ac:dyDescent="0.2">
      <c r="A134" s="180" t="s">
        <v>196</v>
      </c>
      <c r="B134" s="177" t="s">
        <v>197</v>
      </c>
      <c r="C134" s="132">
        <f>+[5]BS17A!$D73</f>
        <v>0</v>
      </c>
      <c r="D134" s="26">
        <f>+[5]BS17A!$U73</f>
        <v>26670</v>
      </c>
      <c r="E134" s="97">
        <f>+[5]BS17A!$V73</f>
        <v>0</v>
      </c>
      <c r="F134" s="21"/>
    </row>
    <row r="135" spans="1:6" ht="15" customHeight="1" x14ac:dyDescent="0.2">
      <c r="A135" s="180" t="s">
        <v>198</v>
      </c>
      <c r="B135" s="177" t="s">
        <v>199</v>
      </c>
      <c r="C135" s="132">
        <f>+[5]BS17A!$D71</f>
        <v>0</v>
      </c>
      <c r="D135" s="26">
        <f>+[5]BS17A!$U71</f>
        <v>27530</v>
      </c>
      <c r="E135" s="97">
        <f>+[5]BS17A!$V71</f>
        <v>0</v>
      </c>
      <c r="F135" s="21"/>
    </row>
    <row r="136" spans="1:6" ht="15" customHeight="1" x14ac:dyDescent="0.2">
      <c r="A136" s="180" t="s">
        <v>200</v>
      </c>
      <c r="B136" s="177" t="s">
        <v>201</v>
      </c>
      <c r="C136" s="132">
        <f>+[5]BS17A!$D76</f>
        <v>0</v>
      </c>
      <c r="D136" s="26">
        <f>+[5]BS17A!$U76</f>
        <v>33020</v>
      </c>
      <c r="E136" s="97">
        <f>+[5]BS17A!$V76</f>
        <v>0</v>
      </c>
      <c r="F136" s="21"/>
    </row>
    <row r="137" spans="1:6" ht="15" customHeight="1" x14ac:dyDescent="0.2">
      <c r="A137" s="180" t="s">
        <v>202</v>
      </c>
      <c r="B137" s="176" t="s">
        <v>203</v>
      </c>
      <c r="C137" s="132">
        <f>+[5]BS17A!$D79</f>
        <v>24</v>
      </c>
      <c r="D137" s="26">
        <f>+[5]BS17A!$U79</f>
        <v>6410</v>
      </c>
      <c r="E137" s="97">
        <f>+[5]BS17A!$V79</f>
        <v>153840</v>
      </c>
      <c r="F137" s="21"/>
    </row>
    <row r="138" spans="1:6" ht="15" customHeight="1" x14ac:dyDescent="0.2">
      <c r="A138" s="180" t="s">
        <v>204</v>
      </c>
      <c r="B138" s="176" t="s">
        <v>205</v>
      </c>
      <c r="C138" s="132">
        <f>+[5]BS17A!$D80</f>
        <v>0</v>
      </c>
      <c r="D138" s="26">
        <f>+[5]BS17A!$U80</f>
        <v>46280</v>
      </c>
      <c r="E138" s="97">
        <f>+[5]BS17A!$V80</f>
        <v>0</v>
      </c>
      <c r="F138" s="21"/>
    </row>
    <row r="139" spans="1:6" ht="15" customHeight="1" x14ac:dyDescent="0.2">
      <c r="A139" s="181"/>
      <c r="B139" s="209" t="s">
        <v>206</v>
      </c>
      <c r="C139" s="165">
        <f>SUM(C126:C138)</f>
        <v>5987</v>
      </c>
      <c r="D139" s="98"/>
      <c r="E139" s="99">
        <f>SUM(E126:E138)</f>
        <v>232546950</v>
      </c>
      <c r="F139" s="21"/>
    </row>
    <row r="140" spans="1:6" ht="15" customHeight="1" x14ac:dyDescent="0.2">
      <c r="A140" s="179"/>
      <c r="B140" s="210" t="s">
        <v>207</v>
      </c>
      <c r="C140" s="135"/>
      <c r="D140" s="31"/>
      <c r="E140" s="96"/>
      <c r="F140" s="21"/>
    </row>
    <row r="141" spans="1:6" ht="15" customHeight="1" x14ac:dyDescent="0.2">
      <c r="A141" s="180" t="s">
        <v>208</v>
      </c>
      <c r="B141" s="177" t="s">
        <v>209</v>
      </c>
      <c r="C141" s="132">
        <f>+[5]BS17A!$D72</f>
        <v>0</v>
      </c>
      <c r="D141" s="26">
        <f>+[5]BS17A!$U72</f>
        <v>11100</v>
      </c>
      <c r="E141" s="97">
        <f>+[5]BS17A!$V72</f>
        <v>0</v>
      </c>
      <c r="F141" s="21"/>
    </row>
    <row r="142" spans="1:6" ht="15" customHeight="1" x14ac:dyDescent="0.2">
      <c r="A142" s="180" t="s">
        <v>210</v>
      </c>
      <c r="B142" s="177" t="s">
        <v>211</v>
      </c>
      <c r="C142" s="132">
        <f>+[5]BS17A!$D74</f>
        <v>0</v>
      </c>
      <c r="D142" s="26">
        <f>+[5]BS17A!$U74</f>
        <v>11100</v>
      </c>
      <c r="E142" s="97">
        <f>+[5]BS17A!$V74</f>
        <v>0</v>
      </c>
      <c r="F142" s="21"/>
    </row>
    <row r="143" spans="1:6" ht="15" customHeight="1" x14ac:dyDescent="0.2">
      <c r="A143" s="180" t="s">
        <v>212</v>
      </c>
      <c r="B143" s="177" t="s">
        <v>213</v>
      </c>
      <c r="C143" s="132">
        <f>+[5]BS17A!$D75</f>
        <v>0</v>
      </c>
      <c r="D143" s="26">
        <f>+[5]BS17A!$U75</f>
        <v>4890</v>
      </c>
      <c r="E143" s="97">
        <f>+[5]BS17A!$V75</f>
        <v>0</v>
      </c>
      <c r="F143" s="21"/>
    </row>
    <row r="144" spans="1:6" ht="15" customHeight="1" x14ac:dyDescent="0.2">
      <c r="A144" s="180" t="s">
        <v>214</v>
      </c>
      <c r="B144" s="177" t="s">
        <v>215</v>
      </c>
      <c r="C144" s="132">
        <f>+[5]BS17A!$D77</f>
        <v>0</v>
      </c>
      <c r="D144" s="26">
        <f>+[5]BS17A!$U77</f>
        <v>89270</v>
      </c>
      <c r="E144" s="97">
        <f>+[5]BS17A!$V77</f>
        <v>0</v>
      </c>
      <c r="F144" s="21"/>
    </row>
    <row r="145" spans="1:6" ht="15" customHeight="1" x14ac:dyDescent="0.2">
      <c r="A145" s="180" t="s">
        <v>216</v>
      </c>
      <c r="B145" s="177" t="s">
        <v>217</v>
      </c>
      <c r="C145" s="132">
        <f>+[5]BS17A!$D78</f>
        <v>0</v>
      </c>
      <c r="D145" s="26">
        <f>+[5]BS17A!$U78</f>
        <v>10540</v>
      </c>
      <c r="E145" s="97">
        <f>+[5]BS17A!$V78</f>
        <v>0</v>
      </c>
      <c r="F145" s="21"/>
    </row>
    <row r="146" spans="1:6" ht="15" customHeight="1" x14ac:dyDescent="0.2">
      <c r="A146" s="180" t="s">
        <v>218</v>
      </c>
      <c r="B146" s="177" t="s">
        <v>219</v>
      </c>
      <c r="C146" s="132">
        <f>+[5]BS17A!$D81</f>
        <v>0</v>
      </c>
      <c r="D146" s="26">
        <f>+[5]BS17A!$U81</f>
        <v>8120</v>
      </c>
      <c r="E146" s="97">
        <f>+[5]BS17A!$V81</f>
        <v>0</v>
      </c>
      <c r="F146" s="21"/>
    </row>
    <row r="147" spans="1:6" ht="15" customHeight="1" x14ac:dyDescent="0.2">
      <c r="A147" s="181"/>
      <c r="B147" s="209" t="s">
        <v>220</v>
      </c>
      <c r="C147" s="165">
        <f>SUM(C141:C146)</f>
        <v>0</v>
      </c>
      <c r="D147" s="98"/>
      <c r="E147" s="99">
        <f>SUM(E141:E146)</f>
        <v>0</v>
      </c>
      <c r="F147" s="21"/>
    </row>
    <row r="148" spans="1:6" ht="15" customHeight="1" x14ac:dyDescent="0.2">
      <c r="A148" s="187"/>
      <c r="B148" s="186" t="s">
        <v>221</v>
      </c>
      <c r="C148" s="35">
        <f>+C139+C147</f>
        <v>5987</v>
      </c>
      <c r="D148" s="100"/>
      <c r="E148" s="101">
        <f>+E139+E147</f>
        <v>232546950</v>
      </c>
      <c r="F148" s="21"/>
    </row>
    <row r="149" spans="1:6" ht="12.75" x14ac:dyDescent="0.2">
      <c r="A149" s="21"/>
      <c r="B149" s="21"/>
      <c r="C149" s="21"/>
      <c r="D149" s="21"/>
      <c r="E149" s="21"/>
      <c r="F149" s="21"/>
    </row>
    <row r="150" spans="1:6" ht="12.75" x14ac:dyDescent="0.2">
      <c r="A150" s="21"/>
      <c r="B150" s="21"/>
      <c r="C150" s="21"/>
      <c r="D150" s="21"/>
      <c r="E150" s="21"/>
      <c r="F150" s="18"/>
    </row>
    <row r="151" spans="1:6" ht="12.75" x14ac:dyDescent="0.2">
      <c r="A151" s="567" t="s">
        <v>222</v>
      </c>
      <c r="B151" s="568"/>
      <c r="C151" s="568"/>
      <c r="D151" s="568"/>
      <c r="E151" s="569"/>
      <c r="F151" s="18"/>
    </row>
    <row r="152" spans="1:6" ht="47.25" customHeight="1" x14ac:dyDescent="0.2">
      <c r="A152" s="1" t="s">
        <v>8</v>
      </c>
      <c r="B152" s="1" t="s">
        <v>9</v>
      </c>
      <c r="C152" s="248" t="s">
        <v>10</v>
      </c>
      <c r="D152" s="3" t="s">
        <v>11</v>
      </c>
      <c r="E152" s="250" t="s">
        <v>12</v>
      </c>
      <c r="F152" s="21"/>
    </row>
    <row r="153" spans="1:6" ht="15" customHeight="1" x14ac:dyDescent="0.2">
      <c r="A153" s="179" t="s">
        <v>223</v>
      </c>
      <c r="B153" s="196" t="s">
        <v>224</v>
      </c>
      <c r="C153" s="135">
        <f>+[5]BS17A!D43</f>
        <v>298</v>
      </c>
      <c r="D153" s="31">
        <f>[5]BS17A!U43</f>
        <v>760</v>
      </c>
      <c r="E153" s="96">
        <f>+[5]BS17A!V43</f>
        <v>226480</v>
      </c>
      <c r="F153" s="21"/>
    </row>
    <row r="154" spans="1:6" ht="15" customHeight="1" x14ac:dyDescent="0.2">
      <c r="A154" s="181" t="s">
        <v>225</v>
      </c>
      <c r="B154" s="178" t="s">
        <v>226</v>
      </c>
      <c r="C154" s="142">
        <f>+[5]BS17A!D44+[5]BS17A!D45</f>
        <v>0</v>
      </c>
      <c r="D154" s="33">
        <f>[5]BS17A!U44</f>
        <v>100</v>
      </c>
      <c r="E154" s="102">
        <f>+[5]BS17A!V44+[5]BS17A!V45</f>
        <v>0</v>
      </c>
      <c r="F154" s="21"/>
    </row>
    <row r="155" spans="1:6" ht="15" customHeight="1" x14ac:dyDescent="0.2">
      <c r="A155" s="187"/>
      <c r="B155" s="186" t="s">
        <v>227</v>
      </c>
      <c r="C155" s="35">
        <f>SUM(C153:C154)</f>
        <v>298</v>
      </c>
      <c r="D155" s="100"/>
      <c r="E155" s="101">
        <f>SUM(E153:E154)</f>
        <v>226480</v>
      </c>
      <c r="F155" s="21"/>
    </row>
    <row r="156" spans="1:6" ht="12.75" x14ac:dyDescent="0.2">
      <c r="A156" s="21"/>
      <c r="B156" s="21"/>
      <c r="C156" s="21"/>
      <c r="D156" s="21"/>
      <c r="E156" s="21"/>
      <c r="F156" s="21"/>
    </row>
    <row r="157" spans="1:6" ht="12.75" x14ac:dyDescent="0.2">
      <c r="A157" s="21"/>
      <c r="B157" s="21"/>
      <c r="C157" s="21"/>
      <c r="D157" s="21"/>
      <c r="E157" s="21"/>
      <c r="F157" s="21"/>
    </row>
    <row r="158" spans="1:6" ht="18" customHeight="1" x14ac:dyDescent="0.2">
      <c r="A158" s="567" t="s">
        <v>228</v>
      </c>
      <c r="B158" s="568"/>
      <c r="C158" s="568"/>
      <c r="D158" s="568"/>
      <c r="E158" s="569"/>
      <c r="F158" s="18"/>
    </row>
    <row r="159" spans="1:6" ht="47.25" customHeight="1" x14ac:dyDescent="0.2">
      <c r="A159" s="1" t="s">
        <v>8</v>
      </c>
      <c r="B159" s="1" t="s">
        <v>9</v>
      </c>
      <c r="C159" s="248" t="s">
        <v>10</v>
      </c>
      <c r="D159" s="3" t="s">
        <v>11</v>
      </c>
      <c r="E159" s="250" t="s">
        <v>12</v>
      </c>
      <c r="F159" s="21"/>
    </row>
    <row r="160" spans="1:6" ht="15" customHeight="1" x14ac:dyDescent="0.2">
      <c r="A160" s="179" t="s">
        <v>229</v>
      </c>
      <c r="B160" s="175" t="s">
        <v>230</v>
      </c>
      <c r="C160" s="160">
        <f>+[5]BS17A!$D1481</f>
        <v>0</v>
      </c>
      <c r="D160" s="31">
        <f>+[5]BS17A!$U1481</f>
        <v>41580</v>
      </c>
      <c r="E160" s="96">
        <f>+[5]BS17A!$V1481</f>
        <v>0</v>
      </c>
      <c r="F160" s="21"/>
    </row>
    <row r="161" spans="1:6" ht="15" customHeight="1" x14ac:dyDescent="0.2">
      <c r="A161" s="180" t="s">
        <v>231</v>
      </c>
      <c r="B161" s="177" t="s">
        <v>232</v>
      </c>
      <c r="C161" s="164">
        <f>+[5]BS17A!$D1482</f>
        <v>0</v>
      </c>
      <c r="D161" s="26">
        <f>+[5]BS17A!$U1482</f>
        <v>26150</v>
      </c>
      <c r="E161" s="97">
        <f>+[5]BS17A!$V1482</f>
        <v>0</v>
      </c>
      <c r="F161" s="21"/>
    </row>
    <row r="162" spans="1:6" ht="15" customHeight="1" x14ac:dyDescent="0.2">
      <c r="A162" s="180" t="s">
        <v>233</v>
      </c>
      <c r="B162" s="176" t="s">
        <v>234</v>
      </c>
      <c r="C162" s="164">
        <f>+[5]BS17A!$D1483</f>
        <v>0</v>
      </c>
      <c r="D162" s="26">
        <f>+[5]BS17A!$U1483</f>
        <v>26930</v>
      </c>
      <c r="E162" s="97">
        <f>+[5]BS17A!$V1483</f>
        <v>0</v>
      </c>
      <c r="F162" s="21"/>
    </row>
    <row r="163" spans="1:6" ht="15" customHeight="1" x14ac:dyDescent="0.2">
      <c r="A163" s="180" t="s">
        <v>235</v>
      </c>
      <c r="B163" s="177" t="s">
        <v>236</v>
      </c>
      <c r="C163" s="164">
        <f>+[5]BS17A!$D1484</f>
        <v>0</v>
      </c>
      <c r="D163" s="26">
        <f>+[5]BS17A!$U1484</f>
        <v>808040</v>
      </c>
      <c r="E163" s="97">
        <f>+[5]BS17A!$V1484</f>
        <v>0</v>
      </c>
      <c r="F163" s="21"/>
    </row>
    <row r="164" spans="1:6" ht="15" customHeight="1" x14ac:dyDescent="0.2">
      <c r="A164" s="180" t="s">
        <v>237</v>
      </c>
      <c r="B164" s="177" t="s">
        <v>238</v>
      </c>
      <c r="C164" s="164">
        <f>+[5]BS17A!$D1485</f>
        <v>0</v>
      </c>
      <c r="D164" s="26">
        <f>+[5]BS17A!$U1485</f>
        <v>367020</v>
      </c>
      <c r="E164" s="97">
        <f>+[5]BS17A!$V1485</f>
        <v>0</v>
      </c>
      <c r="F164" s="21"/>
    </row>
    <row r="165" spans="1:6" ht="15" customHeight="1" x14ac:dyDescent="0.2">
      <c r="A165" s="180" t="s">
        <v>239</v>
      </c>
      <c r="B165" s="177" t="s">
        <v>240</v>
      </c>
      <c r="C165" s="164">
        <f>+[5]BS17A!$D1486</f>
        <v>0</v>
      </c>
      <c r="D165" s="26">
        <f>+[5]BS17A!$U1486</f>
        <v>561210</v>
      </c>
      <c r="E165" s="97">
        <f>+[5]BS17A!$V1486</f>
        <v>0</v>
      </c>
      <c r="F165" s="21"/>
    </row>
    <row r="166" spans="1:6" ht="15" customHeight="1" x14ac:dyDescent="0.2">
      <c r="A166" s="207" t="s">
        <v>241</v>
      </c>
      <c r="B166" s="205" t="s">
        <v>242</v>
      </c>
      <c r="C166" s="164">
        <f>+[5]BS17A!$D1487</f>
        <v>0</v>
      </c>
      <c r="D166" s="26">
        <f>+[5]BS17A!$U1487</f>
        <v>50600</v>
      </c>
      <c r="E166" s="97">
        <f>+[5]BS17A!$V1487</f>
        <v>0</v>
      </c>
      <c r="F166" s="21"/>
    </row>
    <row r="167" spans="1:6" ht="15" customHeight="1" x14ac:dyDescent="0.2">
      <c r="A167" s="208">
        <v>1901029</v>
      </c>
      <c r="B167" s="206" t="s">
        <v>243</v>
      </c>
      <c r="C167" s="161">
        <f>+[5]BS17A!$D1488</f>
        <v>0</v>
      </c>
      <c r="D167" s="33">
        <f>+[5]BS17A!$U1488</f>
        <v>657830</v>
      </c>
      <c r="E167" s="102">
        <f>+[5]BS17A!$V1488</f>
        <v>0</v>
      </c>
      <c r="F167" s="21"/>
    </row>
    <row r="168" spans="1:6" ht="15" customHeight="1" x14ac:dyDescent="0.2">
      <c r="A168" s="86"/>
      <c r="B168" s="103" t="s">
        <v>244</v>
      </c>
      <c r="C168" s="104">
        <f>SUM(C160:C167)</f>
        <v>0</v>
      </c>
      <c r="D168" s="105"/>
      <c r="E168" s="106">
        <f>SUM(E160:E167)</f>
        <v>0</v>
      </c>
      <c r="F168" s="21"/>
    </row>
    <row r="169" spans="1:6" ht="12.75" x14ac:dyDescent="0.2">
      <c r="A169" s="21"/>
      <c r="B169" s="21"/>
      <c r="C169" s="21"/>
      <c r="D169" s="21"/>
      <c r="E169" s="21"/>
      <c r="F169" s="21"/>
    </row>
    <row r="170" spans="1:6" ht="18" customHeight="1" x14ac:dyDescent="0.2">
      <c r="A170" s="21"/>
      <c r="B170" s="21"/>
      <c r="C170" s="21"/>
      <c r="D170" s="21"/>
      <c r="E170" s="21"/>
      <c r="F170" s="21"/>
    </row>
    <row r="171" spans="1:6" ht="18" customHeight="1" x14ac:dyDescent="0.2">
      <c r="A171" s="549" t="s">
        <v>245</v>
      </c>
      <c r="B171" s="550"/>
      <c r="C171" s="550"/>
      <c r="D171" s="550"/>
      <c r="E171" s="551"/>
      <c r="F171" s="18"/>
    </row>
    <row r="172" spans="1:6" ht="46.5" customHeight="1" x14ac:dyDescent="0.2">
      <c r="A172" s="1" t="s">
        <v>8</v>
      </c>
      <c r="B172" s="1" t="s">
        <v>9</v>
      </c>
      <c r="C172" s="248" t="s">
        <v>10</v>
      </c>
      <c r="D172" s="3" t="s">
        <v>11</v>
      </c>
      <c r="E172" s="250" t="s">
        <v>12</v>
      </c>
      <c r="F172" s="21"/>
    </row>
    <row r="173" spans="1:6" ht="12.75" customHeight="1" x14ac:dyDescent="0.2">
      <c r="A173" s="203">
        <v>1101004</v>
      </c>
      <c r="B173" s="9" t="s">
        <v>246</v>
      </c>
      <c r="C173" s="135">
        <f>+[5]BS17A!$D805</f>
        <v>16</v>
      </c>
      <c r="D173" s="31">
        <f>+[5]BS17A!$U805</f>
        <v>14260</v>
      </c>
      <c r="E173" s="96">
        <f>+[5]BS17A!$V805</f>
        <v>228160</v>
      </c>
      <c r="F173" s="21"/>
    </row>
    <row r="174" spans="1:6" ht="12.75" customHeight="1" x14ac:dyDescent="0.2">
      <c r="A174" s="202">
        <v>1101006</v>
      </c>
      <c r="B174" s="10" t="s">
        <v>247</v>
      </c>
      <c r="C174" s="132">
        <f>+[5]BS17A!$D806</f>
        <v>0</v>
      </c>
      <c r="D174" s="26">
        <f>+[5]BS17A!$U806</f>
        <v>11400</v>
      </c>
      <c r="E174" s="97">
        <f>+[5]BS17A!$V806</f>
        <v>0</v>
      </c>
      <c r="F174" s="21"/>
    </row>
    <row r="175" spans="1:6" ht="24.75" customHeight="1" x14ac:dyDescent="0.2">
      <c r="A175" s="202" t="s">
        <v>248</v>
      </c>
      <c r="B175" s="11" t="s">
        <v>249</v>
      </c>
      <c r="C175" s="132">
        <f>+[5]BS17A!$D1197</f>
        <v>357</v>
      </c>
      <c r="D175" s="26">
        <f>+[5]BS17A!$U1197</f>
        <v>4880</v>
      </c>
      <c r="E175" s="97">
        <f>+[5]BS17A!$V1197</f>
        <v>1742160</v>
      </c>
      <c r="F175" s="21"/>
    </row>
    <row r="176" spans="1:6" ht="24.75" customHeight="1" x14ac:dyDescent="0.2">
      <c r="A176" s="202" t="s">
        <v>250</v>
      </c>
      <c r="B176" s="11" t="s">
        <v>251</v>
      </c>
      <c r="C176" s="132">
        <f>+[5]BS17A!$D1198</f>
        <v>6</v>
      </c>
      <c r="D176" s="26">
        <f>+[5]BS17A!$U1198</f>
        <v>13770</v>
      </c>
      <c r="E176" s="97">
        <f>+[5]BS17A!$V1198</f>
        <v>82620</v>
      </c>
      <c r="F176" s="21"/>
    </row>
    <row r="177" spans="1:6" ht="24.75" customHeight="1" x14ac:dyDescent="0.2">
      <c r="A177" s="202" t="s">
        <v>252</v>
      </c>
      <c r="B177" s="11" t="s">
        <v>253</v>
      </c>
      <c r="C177" s="132">
        <f>+[5]BS17A!$D1199</f>
        <v>21</v>
      </c>
      <c r="D177" s="26">
        <f>+[5]BS17A!$U1199</f>
        <v>23350</v>
      </c>
      <c r="E177" s="97">
        <f>+[5]BS17A!$V1199</f>
        <v>490350</v>
      </c>
      <c r="F177" s="21"/>
    </row>
    <row r="178" spans="1:6" ht="12.75" customHeight="1" x14ac:dyDescent="0.2">
      <c r="A178" s="202" t="s">
        <v>254</v>
      </c>
      <c r="B178" s="11" t="s">
        <v>255</v>
      </c>
      <c r="C178" s="132">
        <f>+[5]BS17A!$D1200</f>
        <v>0</v>
      </c>
      <c r="D178" s="26">
        <f>+[5]BS17A!$U1200</f>
        <v>44580</v>
      </c>
      <c r="E178" s="97">
        <f>+[5]BS17A!$V1200</f>
        <v>0</v>
      </c>
      <c r="F178" s="21"/>
    </row>
    <row r="179" spans="1:6" ht="12.75" customHeight="1" x14ac:dyDescent="0.2">
      <c r="A179" s="202" t="s">
        <v>256</v>
      </c>
      <c r="B179" s="11" t="s">
        <v>257</v>
      </c>
      <c r="C179" s="132">
        <f>+[5]BS17A!$D1201</f>
        <v>48</v>
      </c>
      <c r="D179" s="26">
        <f>+[5]BS17A!$U1201</f>
        <v>49690</v>
      </c>
      <c r="E179" s="97">
        <f>+[5]BS17A!$V1201</f>
        <v>2385120</v>
      </c>
      <c r="F179" s="21"/>
    </row>
    <row r="180" spans="1:6" ht="24.75" customHeight="1" x14ac:dyDescent="0.2">
      <c r="A180" s="202" t="s">
        <v>258</v>
      </c>
      <c r="B180" s="11" t="s">
        <v>259</v>
      </c>
      <c r="C180" s="132">
        <f>+[5]BS17A!$D1202</f>
        <v>0</v>
      </c>
      <c r="D180" s="26">
        <f>+[5]BS17A!$U1202</f>
        <v>27870</v>
      </c>
      <c r="E180" s="97">
        <f>+[5]BS17A!$V1202</f>
        <v>0</v>
      </c>
      <c r="F180" s="21"/>
    </row>
    <row r="181" spans="1:6" ht="12.75" customHeight="1" x14ac:dyDescent="0.2">
      <c r="A181" s="202" t="s">
        <v>260</v>
      </c>
      <c r="B181" s="12" t="s">
        <v>261</v>
      </c>
      <c r="C181" s="132">
        <f>+[5]BS17A!$D1203</f>
        <v>0</v>
      </c>
      <c r="D181" s="26">
        <f>+[5]BS17A!$U1203</f>
        <v>215630</v>
      </c>
      <c r="E181" s="97">
        <f>+[5]BS17A!$V1203</f>
        <v>0</v>
      </c>
      <c r="F181" s="21"/>
    </row>
    <row r="182" spans="1:6" ht="12.75" customHeight="1" x14ac:dyDescent="0.2">
      <c r="A182" s="202" t="s">
        <v>262</v>
      </c>
      <c r="B182" s="11" t="s">
        <v>263</v>
      </c>
      <c r="C182" s="132">
        <f>+[5]BS17A!$D1204</f>
        <v>0</v>
      </c>
      <c r="D182" s="26">
        <f>+[5]BS17A!$U1204</f>
        <v>245140</v>
      </c>
      <c r="E182" s="97">
        <f>+[5]BS17A!$V1204</f>
        <v>0</v>
      </c>
      <c r="F182" s="21"/>
    </row>
    <row r="183" spans="1:6" ht="12.75" customHeight="1" x14ac:dyDescent="0.2">
      <c r="A183" s="202" t="s">
        <v>264</v>
      </c>
      <c r="B183" s="11" t="s">
        <v>265</v>
      </c>
      <c r="C183" s="132">
        <f>+[5]BS17A!$D1205</f>
        <v>0</v>
      </c>
      <c r="D183" s="26">
        <f>+[5]BS17A!$U1205</f>
        <v>199900</v>
      </c>
      <c r="E183" s="97">
        <f>+[5]BS17A!$V1205</f>
        <v>0</v>
      </c>
      <c r="F183" s="21"/>
    </row>
    <row r="184" spans="1:6" ht="24.75" customHeight="1" x14ac:dyDescent="0.2">
      <c r="A184" s="202" t="s">
        <v>266</v>
      </c>
      <c r="B184" s="12" t="s">
        <v>267</v>
      </c>
      <c r="C184" s="132">
        <f>+[5]BS17A!$D1206</f>
        <v>0</v>
      </c>
      <c r="D184" s="26">
        <f>+[5]BS17A!$U1206</f>
        <v>256770</v>
      </c>
      <c r="E184" s="97">
        <f>+[5]BS17A!$V1206</f>
        <v>0</v>
      </c>
      <c r="F184" s="21"/>
    </row>
    <row r="185" spans="1:6" ht="24.75" customHeight="1" x14ac:dyDescent="0.2">
      <c r="A185" s="202" t="s">
        <v>268</v>
      </c>
      <c r="B185" s="12" t="s">
        <v>269</v>
      </c>
      <c r="C185" s="132">
        <f>+[5]BS17A!$D1207</f>
        <v>0</v>
      </c>
      <c r="D185" s="26">
        <f>+[5]BS17A!$U1207</f>
        <v>262730</v>
      </c>
      <c r="E185" s="97">
        <f>+[5]BS17A!$V1207</f>
        <v>0</v>
      </c>
      <c r="F185" s="21"/>
    </row>
    <row r="186" spans="1:6" ht="24.75" customHeight="1" x14ac:dyDescent="0.2">
      <c r="A186" s="202" t="s">
        <v>270</v>
      </c>
      <c r="B186" s="12" t="s">
        <v>271</v>
      </c>
      <c r="C186" s="132">
        <f>+[5]BS17A!$D1208</f>
        <v>0</v>
      </c>
      <c r="D186" s="26">
        <f>+[5]BS17A!$U1208</f>
        <v>222180</v>
      </c>
      <c r="E186" s="97">
        <f>+[5]BS17A!$V1208</f>
        <v>0</v>
      </c>
      <c r="F186" s="21"/>
    </row>
    <row r="187" spans="1:6" ht="12.75" customHeight="1" x14ac:dyDescent="0.2">
      <c r="A187" s="202" t="s">
        <v>272</v>
      </c>
      <c r="B187" s="12" t="s">
        <v>273</v>
      </c>
      <c r="C187" s="132">
        <f>+[5]BS17A!$D1209</f>
        <v>0</v>
      </c>
      <c r="D187" s="26">
        <f>+[5]BS17A!$U1209</f>
        <v>237160</v>
      </c>
      <c r="E187" s="97">
        <f>+[5]BS17A!$V1209</f>
        <v>0</v>
      </c>
      <c r="F187" s="21"/>
    </row>
    <row r="188" spans="1:6" ht="12.75" customHeight="1" x14ac:dyDescent="0.2">
      <c r="A188" s="202" t="s">
        <v>274</v>
      </c>
      <c r="B188" s="12" t="s">
        <v>275</v>
      </c>
      <c r="C188" s="132">
        <f>+[5]BS17A!$D1210</f>
        <v>0</v>
      </c>
      <c r="D188" s="26">
        <f>+[5]BS17A!$U1210</f>
        <v>283580</v>
      </c>
      <c r="E188" s="97">
        <f>+[5]BS17A!$V1210</f>
        <v>0</v>
      </c>
      <c r="F188" s="21"/>
    </row>
    <row r="189" spans="1:6" ht="24.75" customHeight="1" x14ac:dyDescent="0.2">
      <c r="A189" s="202" t="s">
        <v>276</v>
      </c>
      <c r="B189" s="11" t="s">
        <v>277</v>
      </c>
      <c r="C189" s="132">
        <f>+[5]BS17A!$D1211</f>
        <v>0</v>
      </c>
      <c r="D189" s="26">
        <f>+[5]BS17A!$U1211</f>
        <v>251470</v>
      </c>
      <c r="E189" s="97">
        <f>+[5]BS17A!$V1211</f>
        <v>0</v>
      </c>
      <c r="F189" s="21"/>
    </row>
    <row r="190" spans="1:6" ht="24.75" customHeight="1" x14ac:dyDescent="0.2">
      <c r="A190" s="202" t="s">
        <v>278</v>
      </c>
      <c r="B190" s="12" t="s">
        <v>279</v>
      </c>
      <c r="C190" s="132">
        <f>+[5]BS17A!$D1212</f>
        <v>0</v>
      </c>
      <c r="D190" s="26">
        <f>+[5]BS17A!$U1212</f>
        <v>1840310</v>
      </c>
      <c r="E190" s="97">
        <f>+[5]BS17A!$V1212</f>
        <v>0</v>
      </c>
      <c r="F190" s="21"/>
    </row>
    <row r="191" spans="1:6" ht="12.75" customHeight="1" x14ac:dyDescent="0.2">
      <c r="A191" s="202" t="s">
        <v>280</v>
      </c>
      <c r="B191" s="12" t="s">
        <v>281</v>
      </c>
      <c r="C191" s="132">
        <f>+[5]BS17A!$D1213</f>
        <v>0</v>
      </c>
      <c r="D191" s="26">
        <f>+[5]BS17A!$U1213</f>
        <v>1149460</v>
      </c>
      <c r="E191" s="97">
        <f>+[5]BS17A!$V1213</f>
        <v>0</v>
      </c>
      <c r="F191" s="21"/>
    </row>
    <row r="192" spans="1:6" ht="12.75" customHeight="1" x14ac:dyDescent="0.2">
      <c r="A192" s="180" t="s">
        <v>282</v>
      </c>
      <c r="B192" s="12" t="s">
        <v>283</v>
      </c>
      <c r="C192" s="132">
        <f>+[5]BS17A!$D1214</f>
        <v>0</v>
      </c>
      <c r="D192" s="26">
        <f>+[5]BS17A!$U1214</f>
        <v>1112540</v>
      </c>
      <c r="E192" s="97">
        <f>+[5]BS17A!$V1214</f>
        <v>0</v>
      </c>
      <c r="F192" s="21"/>
    </row>
    <row r="193" spans="1:6" ht="24.75" customHeight="1" x14ac:dyDescent="0.2">
      <c r="A193" s="202" t="s">
        <v>284</v>
      </c>
      <c r="B193" s="12" t="s">
        <v>285</v>
      </c>
      <c r="C193" s="132">
        <f>+[5]BS17A!$D1215</f>
        <v>0</v>
      </c>
      <c r="D193" s="26">
        <f>+[5]BS17A!$U1215</f>
        <v>1165530</v>
      </c>
      <c r="E193" s="97">
        <f>+[5]BS17A!$V1215</f>
        <v>0</v>
      </c>
      <c r="F193" s="21"/>
    </row>
    <row r="194" spans="1:6" ht="12.75" customHeight="1" x14ac:dyDescent="0.2">
      <c r="A194" s="180" t="s">
        <v>286</v>
      </c>
      <c r="B194" s="12" t="s">
        <v>287</v>
      </c>
      <c r="C194" s="132">
        <f>+[5]BS17A!$D1216</f>
        <v>0</v>
      </c>
      <c r="D194" s="26">
        <f>+[5]BS17A!$U1216</f>
        <v>164930</v>
      </c>
      <c r="E194" s="97">
        <f>+[5]BS17A!$V1216</f>
        <v>0</v>
      </c>
      <c r="F194" s="21"/>
    </row>
    <row r="195" spans="1:6" ht="12.75" customHeight="1" x14ac:dyDescent="0.2">
      <c r="A195" s="180" t="s">
        <v>288</v>
      </c>
      <c r="B195" s="12" t="s">
        <v>289</v>
      </c>
      <c r="C195" s="132">
        <f>+[5]BS17A!$D1217</f>
        <v>0</v>
      </c>
      <c r="D195" s="26">
        <f>+[5]BS17A!$U1217</f>
        <v>376370</v>
      </c>
      <c r="E195" s="97">
        <f>+[5]BS17A!$V1217</f>
        <v>0</v>
      </c>
      <c r="F195" s="21"/>
    </row>
    <row r="196" spans="1:6" ht="12.75" customHeight="1" x14ac:dyDescent="0.2">
      <c r="A196" s="202" t="s">
        <v>290</v>
      </c>
      <c r="B196" s="12" t="s">
        <v>291</v>
      </c>
      <c r="C196" s="132">
        <f>+[5]BS17A!$D1218</f>
        <v>0</v>
      </c>
      <c r="D196" s="26">
        <f>+[5]BS17A!$U1218</f>
        <v>139530</v>
      </c>
      <c r="E196" s="97">
        <f>+[5]BS17A!$V1218</f>
        <v>0</v>
      </c>
      <c r="F196" s="21"/>
    </row>
    <row r="197" spans="1:6" ht="12.75" customHeight="1" x14ac:dyDescent="0.2">
      <c r="A197" s="202" t="s">
        <v>292</v>
      </c>
      <c r="B197" s="12" t="s">
        <v>293</v>
      </c>
      <c r="C197" s="132">
        <f>+[5]BS17A!$D1219</f>
        <v>0</v>
      </c>
      <c r="D197" s="26">
        <f>+[5]BS17A!$U1219</f>
        <v>1130520</v>
      </c>
      <c r="E197" s="97">
        <f>+[5]BS17A!$V1219</f>
        <v>0</v>
      </c>
      <c r="F197" s="21"/>
    </row>
    <row r="198" spans="1:6" ht="12.75" customHeight="1" x14ac:dyDescent="0.2">
      <c r="A198" s="202" t="s">
        <v>294</v>
      </c>
      <c r="B198" s="12" t="s">
        <v>295</v>
      </c>
      <c r="C198" s="132">
        <f>+[5]BS17A!$D1220</f>
        <v>0</v>
      </c>
      <c r="D198" s="26">
        <f>+[5]BS17A!$U1220</f>
        <v>1130520</v>
      </c>
      <c r="E198" s="97">
        <f>+[5]BS17A!$V1220</f>
        <v>0</v>
      </c>
      <c r="F198" s="21"/>
    </row>
    <row r="199" spans="1:6" ht="12.75" customHeight="1" x14ac:dyDescent="0.2">
      <c r="A199" s="202">
        <v>1801001</v>
      </c>
      <c r="B199" s="10" t="s">
        <v>296</v>
      </c>
      <c r="C199" s="132">
        <f>+[5]BS17A!$D1354</f>
        <v>36</v>
      </c>
      <c r="D199" s="26">
        <f>+[5]BS17A!$U1354</f>
        <v>33720</v>
      </c>
      <c r="E199" s="97">
        <f>+[5]BS17A!$V1354</f>
        <v>1213920</v>
      </c>
      <c r="F199" s="21"/>
    </row>
    <row r="200" spans="1:6" ht="12.75" customHeight="1" x14ac:dyDescent="0.2">
      <c r="A200" s="202">
        <v>1801003</v>
      </c>
      <c r="B200" s="12" t="s">
        <v>297</v>
      </c>
      <c r="C200" s="132">
        <f>+[5]BS17A!$D1355</f>
        <v>0</v>
      </c>
      <c r="D200" s="26">
        <f>+[5]BS17A!$U1355</f>
        <v>40670</v>
      </c>
      <c r="E200" s="97">
        <f>+[5]BS17A!$V1355</f>
        <v>0</v>
      </c>
      <c r="F200" s="21"/>
    </row>
    <row r="201" spans="1:6" ht="12.75" customHeight="1" x14ac:dyDescent="0.2">
      <c r="A201" s="202">
        <v>1801006</v>
      </c>
      <c r="B201" s="10" t="s">
        <v>298</v>
      </c>
      <c r="C201" s="132">
        <f>+[5]BS17A!$D1356</f>
        <v>0</v>
      </c>
      <c r="D201" s="26">
        <f>+[5]BS17A!$U1356</f>
        <v>43320</v>
      </c>
      <c r="E201" s="97">
        <f>+[5]BS17A!$V1356</f>
        <v>0</v>
      </c>
      <c r="F201" s="21"/>
    </row>
    <row r="202" spans="1:6" ht="24.75" customHeight="1" x14ac:dyDescent="0.2">
      <c r="A202" s="202" t="s">
        <v>299</v>
      </c>
      <c r="B202" s="10" t="s">
        <v>300</v>
      </c>
      <c r="C202" s="132">
        <f>[5]BS17A!D1036</f>
        <v>0</v>
      </c>
      <c r="D202" s="26">
        <f>[5]BS17A!U1036</f>
        <v>9120</v>
      </c>
      <c r="E202" s="97">
        <f>[5]BS17A!V1036</f>
        <v>0</v>
      </c>
      <c r="F202" s="21"/>
    </row>
    <row r="203" spans="1:6" ht="24.75" customHeight="1" x14ac:dyDescent="0.2">
      <c r="A203" s="204" t="s">
        <v>301</v>
      </c>
      <c r="B203" s="13" t="s">
        <v>302</v>
      </c>
      <c r="C203" s="163">
        <f>[5]BS17A!D807</f>
        <v>0</v>
      </c>
      <c r="D203" s="107">
        <f>[5]BS17A!U807</f>
        <v>386950</v>
      </c>
      <c r="E203" s="108">
        <f>[5]BS17A!V807</f>
        <v>0</v>
      </c>
      <c r="F203" s="21"/>
    </row>
    <row r="204" spans="1:6" ht="17.25" customHeight="1" x14ac:dyDescent="0.2">
      <c r="A204" s="187"/>
      <c r="B204" s="186" t="s">
        <v>303</v>
      </c>
      <c r="C204" s="35">
        <f>SUM(C173:C203)</f>
        <v>484</v>
      </c>
      <c r="D204" s="100"/>
      <c r="E204" s="101">
        <f>SUM(E173:E203)</f>
        <v>6142330</v>
      </c>
      <c r="F204" s="21"/>
    </row>
    <row r="205" spans="1:6" ht="21.75" customHeight="1" x14ac:dyDescent="0.2">
      <c r="A205" s="21"/>
      <c r="B205" s="21"/>
      <c r="C205" s="21"/>
      <c r="D205" s="21"/>
      <c r="E205" s="21"/>
      <c r="F205" s="21"/>
    </row>
    <row r="206" spans="1:6" ht="19.5" customHeight="1" x14ac:dyDescent="0.2">
      <c r="A206" s="21"/>
      <c r="B206" s="21"/>
      <c r="C206" s="21"/>
      <c r="D206" s="21"/>
      <c r="E206" s="21"/>
      <c r="F206" s="21"/>
    </row>
    <row r="207" spans="1:6" ht="18" customHeight="1" x14ac:dyDescent="0.2">
      <c r="A207" s="549" t="s">
        <v>304</v>
      </c>
      <c r="B207" s="550"/>
      <c r="C207" s="550"/>
      <c r="D207" s="550"/>
      <c r="E207" s="551"/>
      <c r="F207" s="18"/>
    </row>
    <row r="208" spans="1:6" ht="39.75" customHeight="1" x14ac:dyDescent="0.2">
      <c r="A208" s="1" t="s">
        <v>8</v>
      </c>
      <c r="B208" s="1" t="s">
        <v>9</v>
      </c>
      <c r="C208" s="248" t="s">
        <v>10</v>
      </c>
      <c r="D208" s="3" t="s">
        <v>11</v>
      </c>
      <c r="E208" s="250" t="s">
        <v>12</v>
      </c>
      <c r="F208" s="18"/>
    </row>
    <row r="209" spans="1:6" ht="12.75" customHeight="1" x14ac:dyDescent="0.2">
      <c r="A209" s="179" t="s">
        <v>305</v>
      </c>
      <c r="B209" s="196" t="s">
        <v>306</v>
      </c>
      <c r="C209" s="135">
        <f>+[5]BS17A!$D18</f>
        <v>0</v>
      </c>
      <c r="D209" s="31">
        <f>+[5]BS17A!$U18</f>
        <v>14110</v>
      </c>
      <c r="E209" s="96">
        <f>+[5]BS17A!$V18</f>
        <v>0</v>
      </c>
      <c r="F209" s="21"/>
    </row>
    <row r="210" spans="1:6" ht="12.75" customHeight="1" x14ac:dyDescent="0.2">
      <c r="A210" s="180" t="s">
        <v>307</v>
      </c>
      <c r="B210" s="177" t="s">
        <v>308</v>
      </c>
      <c r="C210" s="132">
        <f>+[5]BS17A!$D19</f>
        <v>50</v>
      </c>
      <c r="D210" s="26">
        <f>+[5]BS17A!$U19</f>
        <v>14110</v>
      </c>
      <c r="E210" s="97">
        <f>+[5]BS17A!$V19</f>
        <v>705500</v>
      </c>
      <c r="F210" s="21"/>
    </row>
    <row r="211" spans="1:6" ht="12.75" customHeight="1" x14ac:dyDescent="0.2">
      <c r="A211" s="180" t="s">
        <v>309</v>
      </c>
      <c r="B211" s="176" t="s">
        <v>310</v>
      </c>
      <c r="C211" s="132">
        <f>+[5]BS17A!$D47</f>
        <v>0</v>
      </c>
      <c r="D211" s="26">
        <f>+[5]BS17A!$U47</f>
        <v>1350</v>
      </c>
      <c r="E211" s="97">
        <f>+[5]BS17A!$V47</f>
        <v>0</v>
      </c>
      <c r="F211" s="21"/>
    </row>
    <row r="212" spans="1:6" ht="12.75" customHeight="1" x14ac:dyDescent="0.2">
      <c r="A212" s="180" t="s">
        <v>311</v>
      </c>
      <c r="B212" s="176" t="s">
        <v>312</v>
      </c>
      <c r="C212" s="132">
        <f>+[5]BS17A!$D48</f>
        <v>492</v>
      </c>
      <c r="D212" s="26">
        <f>+[5]BS17A!$U48</f>
        <v>660</v>
      </c>
      <c r="E212" s="97">
        <f>+[5]BS17A!$V48</f>
        <v>324720</v>
      </c>
      <c r="F212" s="21"/>
    </row>
    <row r="213" spans="1:6" ht="12.75" customHeight="1" x14ac:dyDescent="0.2">
      <c r="A213" s="180" t="s">
        <v>313</v>
      </c>
      <c r="B213" s="177" t="s">
        <v>314</v>
      </c>
      <c r="C213" s="132">
        <f>+[5]BS17A!$D49</f>
        <v>304</v>
      </c>
      <c r="D213" s="26">
        <f>+[5]BS17A!$U49</f>
        <v>2000</v>
      </c>
      <c r="E213" s="97">
        <f>+[5]BS17A!$V49</f>
        <v>608000</v>
      </c>
      <c r="F213" s="21"/>
    </row>
    <row r="214" spans="1:6" ht="12.75" customHeight="1" x14ac:dyDescent="0.2">
      <c r="A214" s="180" t="s">
        <v>315</v>
      </c>
      <c r="B214" s="177" t="s">
        <v>316</v>
      </c>
      <c r="C214" s="132">
        <f>+[5]BS17A!$D50</f>
        <v>51</v>
      </c>
      <c r="D214" s="26">
        <f>+[5]BS17A!$U50</f>
        <v>15030</v>
      </c>
      <c r="E214" s="97">
        <f>+[5]BS17A!$V50</f>
        <v>766530</v>
      </c>
      <c r="F214" s="21"/>
    </row>
    <row r="215" spans="1:6" ht="12.75" customHeight="1" x14ac:dyDescent="0.2">
      <c r="A215" s="180" t="s">
        <v>317</v>
      </c>
      <c r="B215" s="176" t="s">
        <v>318</v>
      </c>
      <c r="C215" s="132">
        <f>+[5]BS17A!$D51</f>
        <v>83</v>
      </c>
      <c r="D215" s="26">
        <f>+[5]BS17A!$U51</f>
        <v>34510</v>
      </c>
      <c r="E215" s="97">
        <f>+[5]BS17A!$V51</f>
        <v>2864330</v>
      </c>
      <c r="F215" s="21"/>
    </row>
    <row r="216" spans="1:6" ht="12.75" customHeight="1" x14ac:dyDescent="0.2">
      <c r="A216" s="202" t="s">
        <v>319</v>
      </c>
      <c r="B216" s="176" t="s">
        <v>320</v>
      </c>
      <c r="C216" s="132">
        <f>+[5]BS17A!D52</f>
        <v>30</v>
      </c>
      <c r="D216" s="109"/>
      <c r="E216" s="97">
        <f>+[5]BS17A!V52</f>
        <v>258300</v>
      </c>
      <c r="F216" s="21"/>
    </row>
    <row r="217" spans="1:6" ht="12.75" customHeight="1" x14ac:dyDescent="0.2">
      <c r="A217" s="181" t="s">
        <v>321</v>
      </c>
      <c r="B217" s="178" t="s">
        <v>322</v>
      </c>
      <c r="C217" s="142">
        <f>+[5]BS17A!$D1861</f>
        <v>47</v>
      </c>
      <c r="D217" s="33">
        <f>+[5]BS17A!$U1861</f>
        <v>27970</v>
      </c>
      <c r="E217" s="102">
        <f>+[5]BS17A!$V1861</f>
        <v>1314590</v>
      </c>
      <c r="F217" s="21"/>
    </row>
    <row r="218" spans="1:6" ht="12.75" x14ac:dyDescent="0.2">
      <c r="A218" s="187"/>
      <c r="B218" s="186" t="s">
        <v>323</v>
      </c>
      <c r="C218" s="35">
        <f>SUM(C209:C217)</f>
        <v>1057</v>
      </c>
      <c r="D218" s="100"/>
      <c r="E218" s="108">
        <f>SUM(E209:E217)</f>
        <v>6841970</v>
      </c>
      <c r="F218" s="21"/>
    </row>
    <row r="219" spans="1:6" ht="17.25" customHeight="1" x14ac:dyDescent="0.2">
      <c r="A219" s="21"/>
      <c r="B219" s="21"/>
      <c r="C219" s="21"/>
      <c r="D219" s="21"/>
      <c r="E219" s="21"/>
      <c r="F219" s="21"/>
    </row>
    <row r="220" spans="1:6" ht="18" customHeight="1" x14ac:dyDescent="0.2">
      <c r="A220" s="21"/>
      <c r="B220" s="21"/>
      <c r="C220" s="21"/>
      <c r="D220" s="21"/>
      <c r="E220" s="21"/>
      <c r="F220" s="21"/>
    </row>
    <row r="221" spans="1:6" ht="27.75" customHeight="1" x14ac:dyDescent="0.2">
      <c r="A221" s="563" t="s">
        <v>324</v>
      </c>
      <c r="B221" s="564"/>
      <c r="C221" s="565"/>
      <c r="D221" s="21"/>
      <c r="E221" s="21"/>
      <c r="F221" s="18"/>
    </row>
    <row r="222" spans="1:6" ht="42.75" customHeight="1" x14ac:dyDescent="0.2">
      <c r="A222" s="1" t="s">
        <v>8</v>
      </c>
      <c r="B222" s="1" t="s">
        <v>10</v>
      </c>
      <c r="C222" s="1" t="s">
        <v>12</v>
      </c>
      <c r="D222" s="18"/>
      <c r="E222" s="21"/>
      <c r="F222" s="21"/>
    </row>
    <row r="223" spans="1:6" ht="15" customHeight="1" x14ac:dyDescent="0.2">
      <c r="A223" s="179" t="s">
        <v>325</v>
      </c>
      <c r="B223" s="197" t="s">
        <v>326</v>
      </c>
      <c r="C223" s="110"/>
      <c r="D223" s="111"/>
      <c r="E223" s="21"/>
      <c r="F223" s="21"/>
    </row>
    <row r="224" spans="1:6" ht="15" customHeight="1" x14ac:dyDescent="0.2">
      <c r="A224" s="200" t="s">
        <v>327</v>
      </c>
      <c r="B224" s="198" t="s">
        <v>328</v>
      </c>
      <c r="C224" s="112"/>
      <c r="D224" s="111"/>
      <c r="E224" s="21"/>
      <c r="F224" s="21"/>
    </row>
    <row r="225" spans="1:7" ht="18" customHeight="1" x14ac:dyDescent="0.2">
      <c r="A225" s="201"/>
      <c r="B225" s="199" t="s">
        <v>329</v>
      </c>
      <c r="C225" s="162">
        <f>SUM(C223:C224)</f>
        <v>0</v>
      </c>
      <c r="D225" s="111"/>
      <c r="E225" s="21"/>
      <c r="F225" s="21"/>
    </row>
    <row r="226" spans="1:7" ht="18" customHeight="1" x14ac:dyDescent="0.2">
      <c r="A226" s="21"/>
      <c r="B226" s="21"/>
      <c r="C226" s="21"/>
      <c r="D226" s="111"/>
      <c r="E226" s="111"/>
      <c r="F226" s="111"/>
    </row>
    <row r="227" spans="1:7" ht="18" customHeight="1" x14ac:dyDescent="0.2">
      <c r="A227" s="21"/>
      <c r="B227" s="21"/>
      <c r="C227" s="21"/>
      <c r="D227" s="21"/>
      <c r="E227" s="21"/>
      <c r="F227" s="111"/>
      <c r="G227" s="113"/>
    </row>
    <row r="228" spans="1:7" ht="18" customHeight="1" x14ac:dyDescent="0.2">
      <c r="A228" s="549" t="s">
        <v>330</v>
      </c>
      <c r="B228" s="550"/>
      <c r="C228" s="550"/>
      <c r="D228" s="550"/>
      <c r="E228" s="551"/>
      <c r="F228" s="111"/>
      <c r="G228" s="113"/>
    </row>
    <row r="229" spans="1:7" ht="56.25" customHeight="1" x14ac:dyDescent="0.2">
      <c r="A229" s="1" t="s">
        <v>8</v>
      </c>
      <c r="B229" s="1" t="s">
        <v>9</v>
      </c>
      <c r="C229" s="248" t="s">
        <v>10</v>
      </c>
      <c r="D229" s="3" t="s">
        <v>11</v>
      </c>
      <c r="E229" s="250" t="s">
        <v>12</v>
      </c>
      <c r="F229" s="111"/>
      <c r="G229" s="113"/>
    </row>
    <row r="230" spans="1:7" ht="15" customHeight="1" x14ac:dyDescent="0.2">
      <c r="A230" s="179" t="s">
        <v>331</v>
      </c>
      <c r="B230" s="196" t="s">
        <v>332</v>
      </c>
      <c r="C230" s="160">
        <f>+[5]BS17A!$D1941</f>
        <v>391</v>
      </c>
      <c r="D230" s="31">
        <f>+[5]BS17A!$U1941</f>
        <v>19310</v>
      </c>
      <c r="E230" s="96">
        <f>+[5]BS17A!$V1941</f>
        <v>7550210</v>
      </c>
      <c r="F230" s="21"/>
    </row>
    <row r="231" spans="1:7" ht="15" customHeight="1" x14ac:dyDescent="0.2">
      <c r="A231" s="181" t="s">
        <v>333</v>
      </c>
      <c r="B231" s="178" t="s">
        <v>334</v>
      </c>
      <c r="C231" s="161">
        <f>+[5]BS17A!$D1942</f>
        <v>0</v>
      </c>
      <c r="D231" s="33">
        <f>+[5]BS17A!$U1942</f>
        <v>242060</v>
      </c>
      <c r="E231" s="102">
        <f>+[5]BS17A!$V1942</f>
        <v>0</v>
      </c>
      <c r="F231" s="21"/>
    </row>
    <row r="232" spans="1:7" ht="18" customHeight="1" x14ac:dyDescent="0.2">
      <c r="A232" s="187"/>
      <c r="B232" s="186" t="s">
        <v>335</v>
      </c>
      <c r="C232" s="35">
        <f>SUM(C230:C231)</f>
        <v>391</v>
      </c>
      <c r="D232" s="100"/>
      <c r="E232" s="101">
        <f>SUM(E230:E231)</f>
        <v>7550210</v>
      </c>
      <c r="F232" s="21"/>
    </row>
    <row r="233" spans="1:7" ht="18" customHeight="1" x14ac:dyDescent="0.2">
      <c r="A233" s="114"/>
      <c r="B233" s="115"/>
      <c r="C233" s="116"/>
      <c r="D233" s="114"/>
      <c r="E233" s="114"/>
      <c r="F233" s="21"/>
    </row>
    <row r="234" spans="1:7" ht="18" customHeight="1" x14ac:dyDescent="0.2">
      <c r="A234" s="114"/>
      <c r="B234" s="115"/>
      <c r="C234" s="116"/>
      <c r="D234" s="114"/>
      <c r="E234" s="114"/>
      <c r="F234" s="21"/>
    </row>
    <row r="235" spans="1:7" ht="18" customHeight="1" x14ac:dyDescent="0.2">
      <c r="A235" s="557" t="s">
        <v>336</v>
      </c>
      <c r="B235" s="550"/>
      <c r="C235" s="550"/>
      <c r="D235" s="550"/>
      <c r="E235" s="551"/>
      <c r="F235" s="21"/>
    </row>
    <row r="236" spans="1:7" ht="41.25" customHeight="1" x14ac:dyDescent="0.2">
      <c r="A236" s="1" t="s">
        <v>8</v>
      </c>
      <c r="B236" s="1" t="s">
        <v>9</v>
      </c>
      <c r="C236" s="248" t="s">
        <v>10</v>
      </c>
      <c r="D236" s="3" t="s">
        <v>11</v>
      </c>
      <c r="E236" s="250" t="s">
        <v>12</v>
      </c>
      <c r="F236" s="21"/>
    </row>
    <row r="237" spans="1:7" ht="18" customHeight="1" x14ac:dyDescent="0.2">
      <c r="A237" s="93" t="s">
        <v>337</v>
      </c>
      <c r="B237" s="43" t="s">
        <v>338</v>
      </c>
      <c r="C237" s="117">
        <f>[5]BS17A!D768</f>
        <v>501</v>
      </c>
      <c r="D237" s="118"/>
      <c r="E237" s="119">
        <f>[5]BS17A!V768</f>
        <v>3203890</v>
      </c>
      <c r="F237" s="21"/>
    </row>
    <row r="238" spans="1:7" ht="18" customHeight="1" x14ac:dyDescent="0.2">
      <c r="A238" s="114"/>
      <c r="B238" s="115"/>
      <c r="C238" s="116"/>
      <c r="D238" s="114"/>
      <c r="E238" s="114"/>
      <c r="F238" s="21"/>
    </row>
    <row r="239" spans="1:7" ht="18" customHeight="1" x14ac:dyDescent="0.2">
      <c r="A239" s="557" t="s">
        <v>339</v>
      </c>
      <c r="B239" s="558"/>
      <c r="C239" s="558"/>
      <c r="D239" s="558"/>
      <c r="E239" s="559"/>
      <c r="F239" s="21"/>
    </row>
    <row r="240" spans="1:7" ht="43.5" customHeight="1" x14ac:dyDescent="0.2">
      <c r="A240" s="1" t="s">
        <v>8</v>
      </c>
      <c r="B240" s="248" t="s">
        <v>340</v>
      </c>
      <c r="C240" s="2" t="s">
        <v>341</v>
      </c>
      <c r="D240" s="3" t="s">
        <v>11</v>
      </c>
      <c r="E240" s="250" t="s">
        <v>12</v>
      </c>
      <c r="F240" s="21"/>
    </row>
    <row r="241" spans="1:6" ht="15" customHeight="1" x14ac:dyDescent="0.2">
      <c r="A241" s="30" t="s">
        <v>342</v>
      </c>
      <c r="B241" s="144" t="s">
        <v>343</v>
      </c>
      <c r="C241" s="135">
        <f>+[5]BS17A!$D1944</f>
        <v>0</v>
      </c>
      <c r="D241" s="31">
        <f>+[5]BS17A!$U1944</f>
        <v>247230</v>
      </c>
      <c r="E241" s="96">
        <f>+[5]BS17A!$V1944</f>
        <v>0</v>
      </c>
      <c r="F241" s="21"/>
    </row>
    <row r="242" spans="1:6" ht="15" customHeight="1" x14ac:dyDescent="0.2">
      <c r="A242" s="25" t="s">
        <v>344</v>
      </c>
      <c r="B242" s="145" t="s">
        <v>345</v>
      </c>
      <c r="C242" s="132">
        <f>+[5]BS17A!$D1945</f>
        <v>0</v>
      </c>
      <c r="D242" s="26">
        <f>+[5]BS17A!$U1945</f>
        <v>35130</v>
      </c>
      <c r="E242" s="97">
        <f>+[5]BS17A!$V1945</f>
        <v>0</v>
      </c>
      <c r="F242" s="21"/>
    </row>
    <row r="243" spans="1:6" ht="15" customHeight="1" x14ac:dyDescent="0.2">
      <c r="A243" s="25" t="s">
        <v>346</v>
      </c>
      <c r="B243" s="145" t="s">
        <v>347</v>
      </c>
      <c r="C243" s="132">
        <f>+[5]BS17A!$D1946</f>
        <v>0</v>
      </c>
      <c r="D243" s="26">
        <f>+[5]BS17A!$U1946</f>
        <v>132520</v>
      </c>
      <c r="E243" s="97">
        <f>+[5]BS17A!$V1946</f>
        <v>0</v>
      </c>
      <c r="F243" s="21"/>
    </row>
    <row r="244" spans="1:6" ht="15" customHeight="1" x14ac:dyDescent="0.2">
      <c r="A244" s="25" t="s">
        <v>348</v>
      </c>
      <c r="B244" s="145" t="s">
        <v>349</v>
      </c>
      <c r="C244" s="132">
        <f>+[5]BS17A!$D1947</f>
        <v>0</v>
      </c>
      <c r="D244" s="26">
        <f>+[5]BS17A!$U1947</f>
        <v>132520</v>
      </c>
      <c r="E244" s="97">
        <f>+[5]BS17A!$V1947</f>
        <v>0</v>
      </c>
      <c r="F244" s="21"/>
    </row>
    <row r="245" spans="1:6" ht="15" customHeight="1" x14ac:dyDescent="0.2">
      <c r="A245" s="25" t="s">
        <v>350</v>
      </c>
      <c r="B245" s="145" t="s">
        <v>351</v>
      </c>
      <c r="C245" s="132">
        <f>+[5]BS17A!$D1948</f>
        <v>0</v>
      </c>
      <c r="D245" s="26">
        <f>+[5]BS17A!$U1948</f>
        <v>241260</v>
      </c>
      <c r="E245" s="97">
        <f>+[5]BS17A!$V1948</f>
        <v>0</v>
      </c>
      <c r="F245" s="21"/>
    </row>
    <row r="246" spans="1:6" ht="15" customHeight="1" x14ac:dyDescent="0.2">
      <c r="A246" s="25" t="s">
        <v>352</v>
      </c>
      <c r="B246" s="145" t="s">
        <v>353</v>
      </c>
      <c r="C246" s="132">
        <f>+[5]BS17A!$D1949</f>
        <v>0</v>
      </c>
      <c r="D246" s="26">
        <f>+[5]BS17A!$U1949</f>
        <v>370240</v>
      </c>
      <c r="E246" s="97">
        <f>+[5]BS17A!$V1949</f>
        <v>0</v>
      </c>
      <c r="F246" s="21"/>
    </row>
    <row r="247" spans="1:6" ht="15" customHeight="1" x14ac:dyDescent="0.2">
      <c r="A247" s="25" t="s">
        <v>354</v>
      </c>
      <c r="B247" s="145" t="s">
        <v>355</v>
      </c>
      <c r="C247" s="132">
        <f>+[5]BS17A!$D1950</f>
        <v>0</v>
      </c>
      <c r="D247" s="26">
        <f>+[5]BS17A!$U1950</f>
        <v>631610</v>
      </c>
      <c r="E247" s="97">
        <f>+[5]BS17A!$V1950</f>
        <v>0</v>
      </c>
      <c r="F247" s="21"/>
    </row>
    <row r="248" spans="1:6" ht="15" customHeight="1" x14ac:dyDescent="0.2">
      <c r="A248" s="48" t="s">
        <v>356</v>
      </c>
      <c r="B248" s="145" t="s">
        <v>357</v>
      </c>
      <c r="C248" s="132">
        <f>+[5]BS17A!$D1951</f>
        <v>0</v>
      </c>
      <c r="D248" s="26">
        <f>+[5]BS17A!$U1951</f>
        <v>131550</v>
      </c>
      <c r="E248" s="97">
        <f>+[5]BS17A!$V1951</f>
        <v>0</v>
      </c>
      <c r="F248" s="21"/>
    </row>
    <row r="249" spans="1:6" ht="15" customHeight="1" x14ac:dyDescent="0.2">
      <c r="A249" s="48" t="s">
        <v>358</v>
      </c>
      <c r="B249" s="145" t="s">
        <v>359</v>
      </c>
      <c r="C249" s="132">
        <f>+[5]BS17A!$D1952</f>
        <v>0</v>
      </c>
      <c r="D249" s="26">
        <f>+[5]BS17A!$U1952</f>
        <v>354560</v>
      </c>
      <c r="E249" s="97">
        <f>+[5]BS17A!$V1952</f>
        <v>0</v>
      </c>
      <c r="F249" s="21"/>
    </row>
    <row r="250" spans="1:6" ht="15" customHeight="1" x14ac:dyDescent="0.2">
      <c r="A250" s="48" t="s">
        <v>360</v>
      </c>
      <c r="B250" s="145" t="s">
        <v>361</v>
      </c>
      <c r="C250" s="156">
        <f>+[5]BS17A!$D1953</f>
        <v>0</v>
      </c>
      <c r="D250" s="28">
        <f>+[5]BS17A!$U1953</f>
        <v>149290</v>
      </c>
      <c r="E250" s="120">
        <f>+[5]BS17A!$V1953</f>
        <v>0</v>
      </c>
      <c r="F250" s="21"/>
    </row>
    <row r="251" spans="1:6" ht="15" customHeight="1" x14ac:dyDescent="0.2">
      <c r="A251" s="48" t="s">
        <v>362</v>
      </c>
      <c r="B251" s="145" t="s">
        <v>363</v>
      </c>
      <c r="C251" s="156">
        <f>+[5]BS17A!$D1954</f>
        <v>0</v>
      </c>
      <c r="D251" s="28">
        <f>+[5]BS17A!$U1954</f>
        <v>129730</v>
      </c>
      <c r="E251" s="120">
        <f>+[5]BS17A!$V1954</f>
        <v>0</v>
      </c>
      <c r="F251" s="21"/>
    </row>
    <row r="252" spans="1:6" ht="15" customHeight="1" x14ac:dyDescent="0.2">
      <c r="A252" s="48" t="s">
        <v>364</v>
      </c>
      <c r="B252" s="145" t="s">
        <v>365</v>
      </c>
      <c r="C252" s="156">
        <f>+[5]BS17A!$D1955</f>
        <v>0</v>
      </c>
      <c r="D252" s="28">
        <f>+[5]BS17A!$U1955</f>
        <v>197230</v>
      </c>
      <c r="E252" s="120">
        <f>+[5]BS17A!$V1955</f>
        <v>0</v>
      </c>
      <c r="F252" s="21"/>
    </row>
    <row r="253" spans="1:6" ht="15" customHeight="1" x14ac:dyDescent="0.2">
      <c r="A253" s="48" t="s">
        <v>366</v>
      </c>
      <c r="B253" s="145" t="s">
        <v>367</v>
      </c>
      <c r="C253" s="156">
        <f>+[5]BS17A!$D1956</f>
        <v>0</v>
      </c>
      <c r="D253" s="28">
        <f>+[5]BS17A!$U1956</f>
        <v>51900</v>
      </c>
      <c r="E253" s="120">
        <f>+[5]BS17A!$V1956</f>
        <v>0</v>
      </c>
      <c r="F253" s="21"/>
    </row>
    <row r="254" spans="1:6" ht="15" customHeight="1" x14ac:dyDescent="0.2">
      <c r="A254" s="79" t="s">
        <v>368</v>
      </c>
      <c r="B254" s="155" t="s">
        <v>369</v>
      </c>
      <c r="C254" s="142">
        <f>+[5]BS17A!$D1957</f>
        <v>0</v>
      </c>
      <c r="D254" s="33">
        <f>+[5]BS17A!$U1957</f>
        <v>38790</v>
      </c>
      <c r="E254" s="102">
        <f>+[5]BS17A!$V1957</f>
        <v>0</v>
      </c>
      <c r="F254" s="21"/>
    </row>
    <row r="255" spans="1:6" ht="15" customHeight="1" x14ac:dyDescent="0.2">
      <c r="A255" s="552" t="s">
        <v>370</v>
      </c>
      <c r="B255" s="553"/>
      <c r="C255" s="553"/>
      <c r="D255" s="553"/>
      <c r="E255" s="554"/>
      <c r="F255" s="21"/>
    </row>
    <row r="256" spans="1:6" ht="15" customHeight="1" x14ac:dyDescent="0.2">
      <c r="A256" s="179" t="s">
        <v>371</v>
      </c>
      <c r="B256" s="193" t="s">
        <v>343</v>
      </c>
      <c r="C256" s="135">
        <f>+[5]BS17A!$D1958</f>
        <v>0</v>
      </c>
      <c r="D256" s="31">
        <f>+[5]BS17A!$U1958</f>
        <v>212700</v>
      </c>
      <c r="E256" s="96">
        <f>+[5]BS17A!$V1958</f>
        <v>0</v>
      </c>
      <c r="F256" s="21"/>
    </row>
    <row r="257" spans="1:6" ht="15" customHeight="1" x14ac:dyDescent="0.2">
      <c r="A257" s="180" t="s">
        <v>372</v>
      </c>
      <c r="B257" s="194" t="s">
        <v>373</v>
      </c>
      <c r="C257" s="132">
        <f>+[5]BS17A!$D1959</f>
        <v>0</v>
      </c>
      <c r="D257" s="26">
        <f>+[5]BS17A!$U1959</f>
        <v>1265290</v>
      </c>
      <c r="E257" s="97">
        <f>+[5]BS17A!$V1959</f>
        <v>0</v>
      </c>
      <c r="F257" s="21"/>
    </row>
    <row r="258" spans="1:6" ht="15" customHeight="1" x14ac:dyDescent="0.2">
      <c r="A258" s="180" t="s">
        <v>374</v>
      </c>
      <c r="B258" s="194" t="s">
        <v>375</v>
      </c>
      <c r="C258" s="132">
        <f>+[5]BS17A!$D1960</f>
        <v>0</v>
      </c>
      <c r="D258" s="26">
        <f>+[5]BS17A!$U1960</f>
        <v>190900</v>
      </c>
      <c r="E258" s="97">
        <f>+[5]BS17A!$V1960</f>
        <v>0</v>
      </c>
      <c r="F258" s="21"/>
    </row>
    <row r="259" spans="1:6" ht="15" customHeight="1" x14ac:dyDescent="0.2">
      <c r="A259" s="180" t="s">
        <v>376</v>
      </c>
      <c r="B259" s="194" t="s">
        <v>377</v>
      </c>
      <c r="C259" s="132">
        <f>+[5]BS17A!$D1961</f>
        <v>0</v>
      </c>
      <c r="D259" s="26">
        <f>+[5]BS17A!$U1961</f>
        <v>168820</v>
      </c>
      <c r="E259" s="97">
        <f>+[5]BS17A!$V1961</f>
        <v>0</v>
      </c>
      <c r="F259" s="21"/>
    </row>
    <row r="260" spans="1:6" ht="15" customHeight="1" x14ac:dyDescent="0.2">
      <c r="A260" s="180" t="s">
        <v>378</v>
      </c>
      <c r="B260" s="194" t="s">
        <v>379</v>
      </c>
      <c r="C260" s="132">
        <f>+[5]BS17A!$D1962</f>
        <v>0</v>
      </c>
      <c r="D260" s="26">
        <f>+[5]BS17A!$U1962</f>
        <v>342700</v>
      </c>
      <c r="E260" s="97">
        <f>+[5]BS17A!$V1962</f>
        <v>0</v>
      </c>
      <c r="F260" s="21"/>
    </row>
    <row r="261" spans="1:6" ht="15" customHeight="1" x14ac:dyDescent="0.2">
      <c r="A261" s="180" t="s">
        <v>380</v>
      </c>
      <c r="B261" s="194" t="s">
        <v>381</v>
      </c>
      <c r="C261" s="132">
        <f>+[5]BS17A!$D1963</f>
        <v>0</v>
      </c>
      <c r="D261" s="26">
        <f>+[5]BS17A!$U1963</f>
        <v>1139590</v>
      </c>
      <c r="E261" s="97">
        <f>+[5]BS17A!$V1963</f>
        <v>0</v>
      </c>
      <c r="F261" s="21"/>
    </row>
    <row r="262" spans="1:6" ht="15" customHeight="1" x14ac:dyDescent="0.2">
      <c r="A262" s="180" t="s">
        <v>382</v>
      </c>
      <c r="B262" s="194" t="s">
        <v>383</v>
      </c>
      <c r="C262" s="132">
        <f>+[5]BS17A!$D1964</f>
        <v>0</v>
      </c>
      <c r="D262" s="26">
        <f>+[5]BS17A!$U1964</f>
        <v>1171120</v>
      </c>
      <c r="E262" s="97">
        <f>+[5]BS17A!$V1964</f>
        <v>0</v>
      </c>
      <c r="F262" s="21"/>
    </row>
    <row r="263" spans="1:6" ht="15" customHeight="1" x14ac:dyDescent="0.2">
      <c r="A263" s="180" t="s">
        <v>384</v>
      </c>
      <c r="B263" s="194" t="s">
        <v>385</v>
      </c>
      <c r="C263" s="132">
        <f>+[5]BS17A!$D1965</f>
        <v>0</v>
      </c>
      <c r="D263" s="26">
        <f>+[5]BS17A!$U1965</f>
        <v>927270</v>
      </c>
      <c r="E263" s="97">
        <f>+[5]BS17A!$V1965</f>
        <v>0</v>
      </c>
      <c r="F263" s="21"/>
    </row>
    <row r="264" spans="1:6" ht="15" customHeight="1" x14ac:dyDescent="0.2">
      <c r="A264" s="180" t="s">
        <v>386</v>
      </c>
      <c r="B264" s="194" t="s">
        <v>387</v>
      </c>
      <c r="C264" s="132">
        <f>+[5]BS17A!$D1966</f>
        <v>0</v>
      </c>
      <c r="D264" s="26">
        <f>+[5]BS17A!$U1966</f>
        <v>977250</v>
      </c>
      <c r="E264" s="97">
        <f>+[5]BS17A!$V1966</f>
        <v>0</v>
      </c>
      <c r="F264" s="21"/>
    </row>
    <row r="265" spans="1:6" ht="15" customHeight="1" x14ac:dyDescent="0.2">
      <c r="A265" s="180" t="s">
        <v>388</v>
      </c>
      <c r="B265" s="194" t="s">
        <v>389</v>
      </c>
      <c r="C265" s="132">
        <f>+[5]BS17A!$D1967</f>
        <v>0</v>
      </c>
      <c r="D265" s="26">
        <f>+[5]BS17A!$U1967</f>
        <v>385520</v>
      </c>
      <c r="E265" s="97">
        <f>+[5]BS17A!$V1967</f>
        <v>0</v>
      </c>
      <c r="F265" s="21"/>
    </row>
    <row r="266" spans="1:6" ht="15" customHeight="1" x14ac:dyDescent="0.2">
      <c r="A266" s="180" t="s">
        <v>390</v>
      </c>
      <c r="B266" s="194" t="s">
        <v>391</v>
      </c>
      <c r="C266" s="132">
        <f>+[5]BS17A!$D1968</f>
        <v>0</v>
      </c>
      <c r="D266" s="26">
        <f>+[5]BS17A!$U1968</f>
        <v>92330</v>
      </c>
      <c r="E266" s="97">
        <f>+[5]BS17A!$V1968</f>
        <v>0</v>
      </c>
      <c r="F266" s="21"/>
    </row>
    <row r="267" spans="1:6" ht="15" customHeight="1" x14ac:dyDescent="0.2">
      <c r="A267" s="180" t="s">
        <v>392</v>
      </c>
      <c r="B267" s="194" t="s">
        <v>393</v>
      </c>
      <c r="C267" s="132">
        <f>+[5]BS17A!$D1969</f>
        <v>0</v>
      </c>
      <c r="D267" s="26">
        <f>+[5]BS17A!$U1969</f>
        <v>275450</v>
      </c>
      <c r="E267" s="97">
        <f>+[5]BS17A!$V1969</f>
        <v>0</v>
      </c>
      <c r="F267" s="21"/>
    </row>
    <row r="268" spans="1:6" ht="15" customHeight="1" x14ac:dyDescent="0.2">
      <c r="A268" s="180" t="s">
        <v>394</v>
      </c>
      <c r="B268" s="177" t="s">
        <v>395</v>
      </c>
      <c r="C268" s="132">
        <f>+[5]BS17A!$D1970</f>
        <v>0</v>
      </c>
      <c r="D268" s="26">
        <f>+[5]BS17A!$U1970</f>
        <v>77880</v>
      </c>
      <c r="E268" s="97">
        <f>+[5]BS17A!$V1970</f>
        <v>0</v>
      </c>
      <c r="F268" s="21"/>
    </row>
    <row r="269" spans="1:6" ht="15" customHeight="1" x14ac:dyDescent="0.2">
      <c r="A269" s="180" t="s">
        <v>396</v>
      </c>
      <c r="B269" s="177" t="s">
        <v>397</v>
      </c>
      <c r="C269" s="132">
        <f>+[5]BS17A!$D1971</f>
        <v>0</v>
      </c>
      <c r="D269" s="26">
        <f>+[5]BS17A!$U1971</f>
        <v>1338250</v>
      </c>
      <c r="E269" s="97">
        <f>+[5]BS17A!$V1971</f>
        <v>0</v>
      </c>
      <c r="F269" s="21"/>
    </row>
    <row r="270" spans="1:6" ht="15" customHeight="1" x14ac:dyDescent="0.2">
      <c r="A270" s="180" t="s">
        <v>398</v>
      </c>
      <c r="B270" s="177" t="s">
        <v>399</v>
      </c>
      <c r="C270" s="132">
        <f>+[5]BS17A!$D1972</f>
        <v>0</v>
      </c>
      <c r="D270" s="26">
        <f>+[5]BS17A!$U1972</f>
        <v>312910</v>
      </c>
      <c r="E270" s="97">
        <f>+[5]BS17A!$V1972</f>
        <v>0</v>
      </c>
      <c r="F270" s="21"/>
    </row>
    <row r="271" spans="1:6" ht="15" customHeight="1" x14ac:dyDescent="0.2">
      <c r="A271" s="180" t="s">
        <v>400</v>
      </c>
      <c r="B271" s="177" t="s">
        <v>401</v>
      </c>
      <c r="C271" s="132">
        <f>+[5]BS17A!$D1973</f>
        <v>0</v>
      </c>
      <c r="D271" s="26">
        <f>+[5]BS17A!$U1973</f>
        <v>1048270</v>
      </c>
      <c r="E271" s="97">
        <f>+[5]BS17A!$V1973</f>
        <v>0</v>
      </c>
      <c r="F271" s="21"/>
    </row>
    <row r="272" spans="1:6" ht="15" customHeight="1" x14ac:dyDescent="0.2">
      <c r="A272" s="180" t="s">
        <v>402</v>
      </c>
      <c r="B272" s="195" t="s">
        <v>403</v>
      </c>
      <c r="C272" s="132">
        <f>+[5]BS17A!$D1974</f>
        <v>0</v>
      </c>
      <c r="D272" s="26">
        <f>+[5]BS17A!$U1974</f>
        <v>641750</v>
      </c>
      <c r="E272" s="97">
        <f>+[5]BS17A!$V1974</f>
        <v>0</v>
      </c>
      <c r="F272" s="21"/>
    </row>
    <row r="273" spans="1:10" ht="15" customHeight="1" x14ac:dyDescent="0.2">
      <c r="A273" s="181" t="s">
        <v>404</v>
      </c>
      <c r="B273" s="195" t="s">
        <v>405</v>
      </c>
      <c r="C273" s="142">
        <f>+[5]BS17A!$D1975</f>
        <v>0</v>
      </c>
      <c r="D273" s="28">
        <f>+[5]BS17A!$U1975</f>
        <v>523710</v>
      </c>
      <c r="E273" s="120">
        <f>+[5]BS17A!$V1975</f>
        <v>0</v>
      </c>
      <c r="F273" s="21"/>
    </row>
    <row r="274" spans="1:10" ht="15" customHeight="1" x14ac:dyDescent="0.2">
      <c r="A274" s="552" t="s">
        <v>406</v>
      </c>
      <c r="B274" s="553"/>
      <c r="C274" s="553"/>
      <c r="D274" s="553"/>
      <c r="E274" s="554"/>
      <c r="F274" s="21"/>
    </row>
    <row r="275" spans="1:10" ht="15" customHeight="1" x14ac:dyDescent="0.2">
      <c r="A275" s="179" t="s">
        <v>407</v>
      </c>
      <c r="B275" s="188" t="s">
        <v>408</v>
      </c>
      <c r="C275" s="158">
        <f>+[5]BS17A!$D1976</f>
        <v>0</v>
      </c>
      <c r="D275" s="23">
        <f>[5]BS17A!U1976</f>
        <v>282310</v>
      </c>
      <c r="E275" s="121">
        <f>+[5]BS17A!$V1976</f>
        <v>0</v>
      </c>
      <c r="F275" s="21"/>
    </row>
    <row r="276" spans="1:10" ht="15" customHeight="1" x14ac:dyDescent="0.2">
      <c r="A276" s="180" t="s">
        <v>409</v>
      </c>
      <c r="B276" s="177" t="s">
        <v>410</v>
      </c>
      <c r="C276" s="132">
        <f>+[5]BS17A!$D1977</f>
        <v>0</v>
      </c>
      <c r="D276" s="26">
        <f>[5]BS17A!U1977</f>
        <v>164590</v>
      </c>
      <c r="E276" s="97">
        <f>+[5]BS17A!$V1977</f>
        <v>0</v>
      </c>
      <c r="F276" s="21"/>
    </row>
    <row r="277" spans="1:10" ht="15" customHeight="1" x14ac:dyDescent="0.2">
      <c r="A277" s="180" t="s">
        <v>411</v>
      </c>
      <c r="B277" s="177" t="s">
        <v>412</v>
      </c>
      <c r="C277" s="132">
        <f>+[5]BS17A!$D1978</f>
        <v>0</v>
      </c>
      <c r="D277" s="26">
        <f>[5]BS17A!U1978</f>
        <v>397700</v>
      </c>
      <c r="E277" s="97">
        <f>+[5]BS17A!$V1978</f>
        <v>0</v>
      </c>
      <c r="F277" s="21"/>
    </row>
    <row r="278" spans="1:10" ht="15" customHeight="1" x14ac:dyDescent="0.2">
      <c r="A278" s="180" t="s">
        <v>413</v>
      </c>
      <c r="B278" s="177" t="s">
        <v>414</v>
      </c>
      <c r="C278" s="132">
        <f>+[5]BS17A!$D1979</f>
        <v>0</v>
      </c>
      <c r="D278" s="26">
        <f>[5]BS17A!U1979</f>
        <v>412140</v>
      </c>
      <c r="E278" s="97">
        <f>+[5]BS17A!$V1979</f>
        <v>0</v>
      </c>
      <c r="F278" s="21"/>
    </row>
    <row r="279" spans="1:10" ht="15" customHeight="1" x14ac:dyDescent="0.2">
      <c r="A279" s="181" t="s">
        <v>415</v>
      </c>
      <c r="B279" s="189" t="s">
        <v>416</v>
      </c>
      <c r="C279" s="142">
        <f>+[5]BS17A!$D1980</f>
        <v>0</v>
      </c>
      <c r="D279" s="33">
        <f>[5]BS17A!U1980</f>
        <v>257530</v>
      </c>
      <c r="E279" s="102">
        <f>+[5]BS17A!$V1980</f>
        <v>0</v>
      </c>
      <c r="F279" s="122"/>
    </row>
    <row r="280" spans="1:10" ht="15" customHeight="1" x14ac:dyDescent="0.2">
      <c r="A280" s="192" t="s">
        <v>417</v>
      </c>
      <c r="B280" s="190" t="s">
        <v>418</v>
      </c>
      <c r="C280" s="159">
        <f>+[5]BS17A!$D1981</f>
        <v>108</v>
      </c>
      <c r="D280" s="123">
        <f>[5]BS17A!U1981</f>
        <v>35020</v>
      </c>
      <c r="E280" s="119">
        <f>+[5]BS17A!$V1981</f>
        <v>3782160</v>
      </c>
      <c r="F280" s="122"/>
    </row>
    <row r="281" spans="1:10" ht="15" customHeight="1" x14ac:dyDescent="0.2">
      <c r="A281" s="187"/>
      <c r="B281" s="191" t="s">
        <v>419</v>
      </c>
      <c r="C281" s="35">
        <f>SUM(C241:C280)</f>
        <v>108</v>
      </c>
      <c r="D281" s="100"/>
      <c r="E281" s="101">
        <f>SUM(E241:E280)</f>
        <v>3782160</v>
      </c>
      <c r="F281" s="122"/>
    </row>
    <row r="282" spans="1:10" ht="18" customHeight="1" x14ac:dyDescent="0.2">
      <c r="A282" s="114"/>
      <c r="B282" s="21"/>
      <c r="C282" s="21"/>
      <c r="D282" s="114"/>
      <c r="E282" s="114"/>
      <c r="F282" s="21"/>
    </row>
    <row r="283" spans="1:10" ht="18" customHeight="1" x14ac:dyDescent="0.2">
      <c r="A283" s="114"/>
      <c r="B283" s="116"/>
      <c r="C283" s="116"/>
      <c r="D283" s="114"/>
      <c r="E283" s="114"/>
      <c r="F283" s="124"/>
      <c r="G283" s="125"/>
      <c r="J283" s="126"/>
    </row>
    <row r="284" spans="1:10" ht="12.75" customHeight="1" x14ac:dyDescent="0.2">
      <c r="A284" s="557" t="s">
        <v>420</v>
      </c>
      <c r="B284" s="558"/>
      <c r="C284" s="558"/>
      <c r="D284" s="558"/>
      <c r="E284" s="559"/>
      <c r="F284" s="21"/>
    </row>
    <row r="285" spans="1:10" ht="44.25" customHeight="1" x14ac:dyDescent="0.2">
      <c r="A285" s="1" t="s">
        <v>8</v>
      </c>
      <c r="B285" s="1" t="s">
        <v>420</v>
      </c>
      <c r="C285" s="248" t="s">
        <v>341</v>
      </c>
      <c r="D285" s="3" t="s">
        <v>11</v>
      </c>
      <c r="E285" s="250" t="s">
        <v>12</v>
      </c>
      <c r="F285" s="122"/>
    </row>
    <row r="286" spans="1:10" ht="15" customHeight="1" x14ac:dyDescent="0.2">
      <c r="A286" s="179" t="s">
        <v>421</v>
      </c>
      <c r="B286" s="183" t="s">
        <v>422</v>
      </c>
      <c r="C286" s="135">
        <f>+[5]BS17A!$D1983</f>
        <v>4</v>
      </c>
      <c r="D286" s="31">
        <f>+[5]BS17A!$U1983</f>
        <v>6890</v>
      </c>
      <c r="E286" s="96">
        <f>+[5]BS17A!$V1983</f>
        <v>27560</v>
      </c>
      <c r="F286" s="21"/>
    </row>
    <row r="287" spans="1:10" ht="15" customHeight="1" x14ac:dyDescent="0.2">
      <c r="A287" s="180" t="s">
        <v>423</v>
      </c>
      <c r="B287" s="184" t="s">
        <v>424</v>
      </c>
      <c r="C287" s="132">
        <f>+[5]BS17A!$D1984</f>
        <v>0</v>
      </c>
      <c r="D287" s="26">
        <f>+[5]BS17A!$U1984</f>
        <v>3670</v>
      </c>
      <c r="E287" s="97">
        <f>+[5]BS17A!$V1984</f>
        <v>0</v>
      </c>
      <c r="F287" s="21"/>
    </row>
    <row r="288" spans="1:10" ht="15" customHeight="1" x14ac:dyDescent="0.2">
      <c r="A288" s="180" t="s">
        <v>425</v>
      </c>
      <c r="B288" s="184" t="s">
        <v>426</v>
      </c>
      <c r="C288" s="132">
        <f>+[5]BS17A!$D1985</f>
        <v>1</v>
      </c>
      <c r="D288" s="26">
        <f>+[5]BS17A!$U1985</f>
        <v>13830</v>
      </c>
      <c r="E288" s="97">
        <f>+[5]BS17A!$V1985</f>
        <v>13830</v>
      </c>
      <c r="F288" s="21"/>
    </row>
    <row r="289" spans="1:7" ht="15" customHeight="1" x14ac:dyDescent="0.2">
      <c r="A289" s="180" t="s">
        <v>427</v>
      </c>
      <c r="B289" s="184" t="s">
        <v>428</v>
      </c>
      <c r="C289" s="132">
        <f>+[5]BS17A!$D1986</f>
        <v>0</v>
      </c>
      <c r="D289" s="26">
        <f>+[5]BS17A!$U1986</f>
        <v>141790</v>
      </c>
      <c r="E289" s="97">
        <f>+[5]BS17A!$V1986</f>
        <v>0</v>
      </c>
      <c r="F289" s="21"/>
    </row>
    <row r="290" spans="1:7" ht="15" customHeight="1" x14ac:dyDescent="0.2">
      <c r="A290" s="181" t="s">
        <v>429</v>
      </c>
      <c r="B290" s="185" t="s">
        <v>430</v>
      </c>
      <c r="C290" s="142">
        <f>+[5]BS17A!$D1987</f>
        <v>1</v>
      </c>
      <c r="D290" s="33">
        <f>+[5]BS17A!$U1987</f>
        <v>778770</v>
      </c>
      <c r="E290" s="102">
        <f>+[5]BS17A!$V1987</f>
        <v>778770</v>
      </c>
      <c r="F290" s="21"/>
    </row>
    <row r="291" spans="1:7" ht="15" customHeight="1" x14ac:dyDescent="0.2">
      <c r="A291" s="187"/>
      <c r="B291" s="186" t="s">
        <v>431</v>
      </c>
      <c r="C291" s="68">
        <f>SUM(C286:C290)</f>
        <v>6</v>
      </c>
      <c r="D291" s="44"/>
      <c r="E291" s="69">
        <f>SUM(E286:E290)</f>
        <v>820160</v>
      </c>
      <c r="F291" s="21"/>
    </row>
    <row r="292" spans="1:7" ht="18" customHeight="1" x14ac:dyDescent="0.2">
      <c r="A292" s="114"/>
      <c r="B292" s="116"/>
      <c r="C292" s="114"/>
      <c r="D292" s="114"/>
      <c r="E292" s="114"/>
      <c r="F292" s="21"/>
    </row>
    <row r="293" spans="1:7" ht="18" customHeight="1" x14ac:dyDescent="0.2">
      <c r="A293" s="114"/>
      <c r="B293" s="116"/>
      <c r="C293" s="114"/>
      <c r="D293" s="114"/>
      <c r="E293" s="114"/>
      <c r="F293" s="127"/>
      <c r="G293" s="22"/>
    </row>
    <row r="294" spans="1:7" ht="12.75" x14ac:dyDescent="0.2">
      <c r="A294" s="552" t="s">
        <v>432</v>
      </c>
      <c r="B294" s="553"/>
      <c r="C294" s="553"/>
      <c r="D294" s="553"/>
      <c r="E294" s="554"/>
      <c r="F294" s="128"/>
      <c r="G294" s="22"/>
    </row>
    <row r="295" spans="1:7" ht="42.75" customHeight="1" x14ac:dyDescent="0.2">
      <c r="A295" s="1" t="s">
        <v>8</v>
      </c>
      <c r="B295" s="154" t="s">
        <v>432</v>
      </c>
      <c r="C295" s="8" t="s">
        <v>433</v>
      </c>
      <c r="D295" s="3" t="s">
        <v>11</v>
      </c>
      <c r="E295" s="250" t="s">
        <v>12</v>
      </c>
      <c r="F295" s="128"/>
      <c r="G295" s="22"/>
    </row>
    <row r="296" spans="1:7" ht="15" customHeight="1" x14ac:dyDescent="0.2">
      <c r="A296" s="179" t="s">
        <v>434</v>
      </c>
      <c r="B296" s="175" t="s">
        <v>435</v>
      </c>
      <c r="C296" s="135">
        <f>+[5]BS17A!$D1863</f>
        <v>192</v>
      </c>
      <c r="D296" s="31">
        <f>+[5]BS17A!$U1863</f>
        <v>18430</v>
      </c>
      <c r="E296" s="96">
        <f>+[5]BS17A!$V1863</f>
        <v>3538560</v>
      </c>
      <c r="F296" s="21"/>
    </row>
    <row r="297" spans="1:7" ht="15" customHeight="1" x14ac:dyDescent="0.2">
      <c r="A297" s="180" t="s">
        <v>436</v>
      </c>
      <c r="B297" s="176" t="s">
        <v>437</v>
      </c>
      <c r="C297" s="132">
        <f>+[5]BS17A!$D1864</f>
        <v>195</v>
      </c>
      <c r="D297" s="26">
        <f>+[5]BS17A!$U1864</f>
        <v>57970</v>
      </c>
      <c r="E297" s="97">
        <f>+[5]BS17A!$V1864</f>
        <v>11304150</v>
      </c>
      <c r="F297" s="21"/>
    </row>
    <row r="298" spans="1:7" ht="15" customHeight="1" x14ac:dyDescent="0.2">
      <c r="A298" s="180" t="s">
        <v>438</v>
      </c>
      <c r="B298" s="176" t="s">
        <v>439</v>
      </c>
      <c r="C298" s="132">
        <f>+[5]BS17A!$D1865</f>
        <v>0</v>
      </c>
      <c r="D298" s="26">
        <f>+[5]BS17A!$U1865</f>
        <v>71860</v>
      </c>
      <c r="E298" s="97">
        <f>+[5]BS17A!$V1865</f>
        <v>0</v>
      </c>
      <c r="F298" s="21"/>
    </row>
    <row r="299" spans="1:7" ht="15" customHeight="1" x14ac:dyDescent="0.2">
      <c r="A299" s="180" t="s">
        <v>440</v>
      </c>
      <c r="B299" s="176" t="s">
        <v>441</v>
      </c>
      <c r="C299" s="132">
        <f>+[5]BS17A!$D1866</f>
        <v>197</v>
      </c>
      <c r="D299" s="26">
        <f>+[5]BS17A!$U1866</f>
        <v>2520</v>
      </c>
      <c r="E299" s="97">
        <f>+[5]BS17A!$V1866</f>
        <v>496440</v>
      </c>
      <c r="F299" s="21"/>
    </row>
    <row r="300" spans="1:7" ht="15" customHeight="1" x14ac:dyDescent="0.2">
      <c r="A300" s="180" t="s">
        <v>442</v>
      </c>
      <c r="B300" s="176" t="s">
        <v>443</v>
      </c>
      <c r="C300" s="132">
        <f>+[5]BS17A!$D1867</f>
        <v>0</v>
      </c>
      <c r="D300" s="26">
        <f>+[5]BS17A!$U1867</f>
        <v>70</v>
      </c>
      <c r="E300" s="97">
        <f>+[5]BS17A!$V1867</f>
        <v>0</v>
      </c>
      <c r="F300" s="21"/>
    </row>
    <row r="301" spans="1:7" ht="15" customHeight="1" x14ac:dyDescent="0.2">
      <c r="A301" s="180" t="s">
        <v>444</v>
      </c>
      <c r="B301" s="177" t="s">
        <v>445</v>
      </c>
      <c r="C301" s="132">
        <f>+[5]BS17A!$D1868</f>
        <v>0</v>
      </c>
      <c r="D301" s="26">
        <f>+[5]BS17A!$U1868</f>
        <v>152560</v>
      </c>
      <c r="E301" s="97">
        <f>+[5]BS17A!$V1868</f>
        <v>0</v>
      </c>
      <c r="F301" s="21"/>
    </row>
    <row r="302" spans="1:7" ht="15" customHeight="1" x14ac:dyDescent="0.2">
      <c r="A302" s="181" t="s">
        <v>446</v>
      </c>
      <c r="B302" s="178" t="s">
        <v>447</v>
      </c>
      <c r="C302" s="142">
        <f>+[5]BS17A!$D1869</f>
        <v>0</v>
      </c>
      <c r="D302" s="33">
        <f>+[5]BS17A!$U1869</f>
        <v>10370</v>
      </c>
      <c r="E302" s="102">
        <f>+[5]BS17A!$V1869</f>
        <v>0</v>
      </c>
      <c r="F302" s="21"/>
    </row>
    <row r="303" spans="1:7" ht="15" customHeight="1" x14ac:dyDescent="0.2">
      <c r="A303" s="182"/>
      <c r="B303" s="575" t="s">
        <v>448</v>
      </c>
      <c r="C303" s="576"/>
      <c r="D303" s="118"/>
      <c r="E303" s="129">
        <f>SUM(E296:E302)</f>
        <v>15339150</v>
      </c>
      <c r="F303" s="21"/>
    </row>
    <row r="304" spans="1:7" ht="12.75" x14ac:dyDescent="0.2">
      <c r="A304" s="21"/>
      <c r="B304" s="21"/>
      <c r="C304" s="21"/>
      <c r="D304" s="21"/>
      <c r="E304" s="21"/>
      <c r="F304" s="111"/>
      <c r="G304" s="113"/>
    </row>
    <row r="305" spans="1:7" ht="12.75" x14ac:dyDescent="0.2">
      <c r="A305" s="21"/>
      <c r="B305" s="21"/>
      <c r="C305" s="21"/>
      <c r="D305" s="21"/>
      <c r="E305" s="21"/>
      <c r="F305" s="111"/>
      <c r="G305" s="113"/>
    </row>
    <row r="306" spans="1:7" ht="12.75" x14ac:dyDescent="0.2">
      <c r="A306" s="567" t="s">
        <v>449</v>
      </c>
      <c r="B306" s="568"/>
      <c r="C306" s="568"/>
      <c r="D306" s="568"/>
      <c r="E306" s="569"/>
      <c r="F306" s="111"/>
      <c r="G306" s="113"/>
    </row>
    <row r="307" spans="1:7" ht="12.75" x14ac:dyDescent="0.2">
      <c r="A307" s="63"/>
      <c r="B307" s="572" t="s">
        <v>450</v>
      </c>
      <c r="C307" s="573"/>
      <c r="D307" s="574"/>
      <c r="E307" s="130">
        <f>+E232+E237+E281+E291+E303</f>
        <v>30695570</v>
      </c>
      <c r="F307" s="21"/>
    </row>
    <row r="308" spans="1:7" ht="12.75" x14ac:dyDescent="0.2">
      <c r="A308" s="21"/>
      <c r="B308" s="21"/>
      <c r="C308" s="21"/>
      <c r="D308" s="21"/>
      <c r="E308" s="21"/>
      <c r="F308" s="111"/>
      <c r="G308" s="113"/>
    </row>
    <row r="309" spans="1:7" ht="12.75" x14ac:dyDescent="0.2">
      <c r="A309" s="21"/>
      <c r="B309" s="21"/>
      <c r="C309" s="21"/>
      <c r="D309" s="21"/>
      <c r="E309" s="21"/>
      <c r="F309" s="111"/>
      <c r="G309" s="113"/>
    </row>
    <row r="310" spans="1:7" ht="12.75" x14ac:dyDescent="0.2">
      <c r="A310" s="567" t="s">
        <v>451</v>
      </c>
      <c r="B310" s="568"/>
      <c r="C310" s="568"/>
      <c r="D310" s="568"/>
      <c r="E310" s="569"/>
      <c r="F310" s="111"/>
      <c r="G310" s="113"/>
    </row>
    <row r="311" spans="1:7" ht="25.5" x14ac:dyDescent="0.2">
      <c r="A311" s="552" t="s">
        <v>452</v>
      </c>
      <c r="B311" s="553"/>
      <c r="C311" s="553"/>
      <c r="D311" s="554"/>
      <c r="E311" s="1" t="s">
        <v>12</v>
      </c>
      <c r="F311" s="111"/>
      <c r="G311" s="113"/>
    </row>
    <row r="312" spans="1:7" ht="15" customHeight="1" x14ac:dyDescent="0.2">
      <c r="A312" s="63"/>
      <c r="B312" s="572" t="s">
        <v>453</v>
      </c>
      <c r="C312" s="573"/>
      <c r="D312" s="574"/>
      <c r="E312" s="130">
        <f>+E50+E76+E84+F109+E116+C121+E148+E155+E168+E204+E218+C225+E307</f>
        <v>732154260</v>
      </c>
      <c r="F312" s="111"/>
      <c r="G312" s="113"/>
    </row>
    <row r="313" spans="1:7" ht="18" customHeight="1" x14ac:dyDescent="0.2">
      <c r="A313" s="21"/>
      <c r="B313" s="21"/>
      <c r="C313" s="21"/>
      <c r="D313" s="21"/>
      <c r="E313" s="21"/>
      <c r="F313" s="18"/>
    </row>
    <row r="314" spans="1:7" ht="18" customHeight="1" x14ac:dyDescent="0.2">
      <c r="A314" s="21"/>
      <c r="B314" s="21"/>
      <c r="C314" s="21"/>
      <c r="D314" s="21"/>
      <c r="E314" s="21"/>
      <c r="F314" s="18"/>
    </row>
    <row r="315" spans="1:7" ht="18" customHeight="1" x14ac:dyDescent="0.2">
      <c r="A315" s="567" t="s">
        <v>454</v>
      </c>
      <c r="B315" s="568"/>
      <c r="C315" s="569"/>
      <c r="D315" s="21"/>
      <c r="E315" s="21"/>
      <c r="F315" s="18"/>
    </row>
    <row r="316" spans="1:7" ht="18" customHeight="1" x14ac:dyDescent="0.2">
      <c r="A316" s="552" t="s">
        <v>455</v>
      </c>
      <c r="B316" s="553"/>
      <c r="C316" s="554"/>
      <c r="D316" s="21"/>
      <c r="E316" s="21"/>
      <c r="F316" s="18"/>
    </row>
    <row r="317" spans="1:7" ht="30.75" customHeight="1" x14ac:dyDescent="0.2">
      <c r="A317" s="567" t="s">
        <v>456</v>
      </c>
      <c r="B317" s="568"/>
      <c r="C317" s="1" t="s">
        <v>457</v>
      </c>
      <c r="D317" s="21"/>
      <c r="E317" s="21"/>
      <c r="F317" s="21"/>
    </row>
    <row r="318" spans="1:7" ht="15" customHeight="1" x14ac:dyDescent="0.2">
      <c r="A318" s="131" t="s">
        <v>458</v>
      </c>
      <c r="B318" s="144"/>
      <c r="C318" s="150"/>
      <c r="D318" s="21"/>
      <c r="E318" s="21"/>
      <c r="F318" s="21"/>
    </row>
    <row r="319" spans="1:7" ht="15" customHeight="1" x14ac:dyDescent="0.2">
      <c r="A319" s="132" t="s">
        <v>459</v>
      </c>
      <c r="B319" s="145"/>
      <c r="C319" s="151"/>
      <c r="D319" s="21"/>
      <c r="E319" s="21"/>
      <c r="F319" s="21"/>
    </row>
    <row r="320" spans="1:7" ht="15" customHeight="1" x14ac:dyDescent="0.2">
      <c r="A320" s="132" t="s">
        <v>460</v>
      </c>
      <c r="B320" s="145"/>
      <c r="C320" s="151"/>
      <c r="D320" s="21"/>
      <c r="E320" s="21"/>
      <c r="F320" s="21"/>
    </row>
    <row r="321" spans="1:6" ht="15" customHeight="1" x14ac:dyDescent="0.2">
      <c r="A321" s="133" t="s">
        <v>461</v>
      </c>
      <c r="B321" s="145"/>
      <c r="C321" s="151"/>
      <c r="D321" s="21"/>
      <c r="E321" s="21"/>
      <c r="F321" s="21"/>
    </row>
    <row r="322" spans="1:6" ht="15" customHeight="1" x14ac:dyDescent="0.2">
      <c r="A322" s="134" t="s">
        <v>462</v>
      </c>
      <c r="B322" s="146"/>
      <c r="C322" s="152">
        <f>SUM(C318:C321)</f>
        <v>0</v>
      </c>
      <c r="D322" s="21"/>
      <c r="E322" s="21"/>
      <c r="F322" s="21"/>
    </row>
    <row r="323" spans="1:6" ht="15" customHeight="1" x14ac:dyDescent="0.2">
      <c r="A323" s="135" t="s">
        <v>463</v>
      </c>
      <c r="B323" s="147"/>
      <c r="C323" s="150">
        <v>7983677</v>
      </c>
      <c r="D323" s="21"/>
      <c r="E323" s="21"/>
      <c r="F323" s="21"/>
    </row>
    <row r="324" spans="1:6" ht="15" customHeight="1" x14ac:dyDescent="0.2">
      <c r="A324" s="136" t="s">
        <v>464</v>
      </c>
      <c r="B324" s="148"/>
      <c r="C324" s="151"/>
      <c r="D324" s="21"/>
      <c r="E324" s="21"/>
      <c r="F324" s="21"/>
    </row>
    <row r="325" spans="1:6" ht="15" customHeight="1" x14ac:dyDescent="0.2">
      <c r="A325" s="132" t="s">
        <v>465</v>
      </c>
      <c r="B325" s="148"/>
      <c r="C325" s="151"/>
      <c r="D325" s="21"/>
      <c r="E325" s="21"/>
      <c r="F325" s="21"/>
    </row>
    <row r="326" spans="1:6" ht="15" customHeight="1" x14ac:dyDescent="0.2">
      <c r="A326" s="132" t="s">
        <v>466</v>
      </c>
      <c r="B326" s="148"/>
      <c r="C326" s="151"/>
      <c r="D326" s="21"/>
      <c r="E326" s="21"/>
      <c r="F326" s="21"/>
    </row>
    <row r="327" spans="1:6" ht="15" customHeight="1" x14ac:dyDescent="0.2">
      <c r="A327" s="136" t="s">
        <v>467</v>
      </c>
      <c r="B327" s="148"/>
      <c r="C327" s="151"/>
      <c r="D327" s="21"/>
      <c r="E327" s="21"/>
      <c r="F327" s="21"/>
    </row>
    <row r="328" spans="1:6" ht="15" customHeight="1" x14ac:dyDescent="0.2">
      <c r="A328" s="136" t="s">
        <v>468</v>
      </c>
      <c r="B328" s="148"/>
      <c r="C328" s="151"/>
      <c r="D328" s="21"/>
      <c r="E328" s="21"/>
      <c r="F328" s="21"/>
    </row>
    <row r="329" spans="1:6" ht="15" customHeight="1" x14ac:dyDescent="0.2">
      <c r="A329" s="137" t="s">
        <v>469</v>
      </c>
      <c r="B329" s="149"/>
      <c r="C329" s="153">
        <v>87000844</v>
      </c>
      <c r="D329" s="21"/>
      <c r="E329" s="21"/>
      <c r="F329" s="21"/>
    </row>
    <row r="330" spans="1:6" ht="15" customHeight="1" x14ac:dyDescent="0.2">
      <c r="A330" s="35"/>
      <c r="B330" s="143" t="s">
        <v>470</v>
      </c>
      <c r="C330" s="106">
        <f>SUM(C322:C329)</f>
        <v>94984521</v>
      </c>
      <c r="D330" s="21"/>
      <c r="E330" s="21"/>
      <c r="F330" s="21"/>
    </row>
    <row r="331" spans="1:6" ht="12.75" x14ac:dyDescent="0.2">
      <c r="A331" s="21"/>
      <c r="B331" s="21"/>
      <c r="C331" s="21"/>
      <c r="D331" s="21"/>
      <c r="E331" s="21"/>
      <c r="F331" s="18"/>
    </row>
    <row r="332" spans="1:6" ht="12.75" x14ac:dyDescent="0.2">
      <c r="A332" s="21"/>
      <c r="B332" s="21"/>
      <c r="C332" s="21"/>
      <c r="D332" s="21"/>
      <c r="E332" s="21"/>
      <c r="F332" s="18"/>
    </row>
    <row r="333" spans="1:6" ht="12.75" x14ac:dyDescent="0.2">
      <c r="A333" s="21"/>
      <c r="B333" s="21"/>
      <c r="C333" s="21"/>
      <c r="D333" s="21"/>
      <c r="E333" s="21"/>
      <c r="F333" s="18"/>
    </row>
    <row r="334" spans="1:6" ht="12.75" x14ac:dyDescent="0.2">
      <c r="A334" s="114"/>
      <c r="B334" s="114"/>
      <c r="C334" s="114"/>
      <c r="D334" s="114"/>
      <c r="E334" s="114"/>
      <c r="F334" s="127"/>
    </row>
    <row r="335" spans="1:6" ht="12.75" x14ac:dyDescent="0.2">
      <c r="A335" s="114"/>
      <c r="B335" s="114"/>
      <c r="C335" s="114"/>
      <c r="D335" s="114"/>
      <c r="E335" s="541" t="str">
        <f>[5]NOMBRE!B12</f>
        <v xml:space="preserve">SRA. MARIA INES NUÑEZ GONZALEZ </v>
      </c>
      <c r="F335" s="541"/>
    </row>
    <row r="336" spans="1:6" ht="12.75" x14ac:dyDescent="0.2">
      <c r="A336" s="114"/>
      <c r="B336" s="114"/>
      <c r="C336" s="114"/>
      <c r="D336" s="116"/>
      <c r="E336" s="542" t="str">
        <f>[5]NOMBRE!A12</f>
        <v>Jefe de Estadisticas</v>
      </c>
      <c r="F336" s="542"/>
    </row>
    <row r="337" spans="1:6" ht="12.75" x14ac:dyDescent="0.2">
      <c r="A337" s="114"/>
      <c r="B337" s="114"/>
      <c r="C337" s="114"/>
      <c r="D337" s="114"/>
      <c r="E337" s="251"/>
      <c r="F337" s="6"/>
    </row>
    <row r="338" spans="1:6" ht="12.75" x14ac:dyDescent="0.2">
      <c r="A338" s="114"/>
      <c r="B338" s="114"/>
      <c r="C338" s="114"/>
      <c r="D338" s="114"/>
      <c r="E338" s="6"/>
      <c r="F338" s="6"/>
    </row>
    <row r="339" spans="1:6" ht="12.75" x14ac:dyDescent="0.2">
      <c r="A339" s="114"/>
      <c r="B339" s="114"/>
      <c r="C339" s="114"/>
      <c r="D339" s="114"/>
      <c r="E339" s="6"/>
      <c r="F339" s="6"/>
    </row>
    <row r="340" spans="1:6" ht="12.75" x14ac:dyDescent="0.2">
      <c r="A340" s="114"/>
      <c r="B340" s="114"/>
      <c r="C340" s="114"/>
      <c r="D340" s="114"/>
      <c r="E340" s="6"/>
      <c r="F340" s="6"/>
    </row>
    <row r="341" spans="1:6" ht="12.75" x14ac:dyDescent="0.2">
      <c r="A341" s="114"/>
      <c r="B341" s="114"/>
      <c r="C341" s="114"/>
      <c r="D341" s="114"/>
      <c r="E341" s="6"/>
      <c r="F341" s="6"/>
    </row>
    <row r="342" spans="1:6" ht="12.75" x14ac:dyDescent="0.2">
      <c r="A342" s="114"/>
      <c r="B342" s="114"/>
      <c r="C342" s="114"/>
      <c r="D342" s="114"/>
      <c r="E342" s="6"/>
      <c r="F342" s="6"/>
    </row>
    <row r="343" spans="1:6" ht="12.75" x14ac:dyDescent="0.2">
      <c r="A343" s="114"/>
      <c r="B343" s="114"/>
      <c r="C343" s="114"/>
      <c r="D343" s="114"/>
      <c r="E343" s="6"/>
      <c r="F343" s="6"/>
    </row>
    <row r="344" spans="1:6" ht="12.75" x14ac:dyDescent="0.2">
      <c r="A344" s="114"/>
      <c r="B344" s="114"/>
      <c r="C344" s="114"/>
      <c r="D344" s="114"/>
      <c r="E344" s="541" t="str">
        <f>[5]NOMBRE!B11</f>
        <v xml:space="preserve">DR. FRANCISCO MARTINEZ CABALLA </v>
      </c>
      <c r="F344" s="541"/>
    </row>
    <row r="345" spans="1:6" ht="22.5" customHeight="1" x14ac:dyDescent="0.2">
      <c r="A345" s="114"/>
      <c r="B345" s="114"/>
      <c r="C345" s="114"/>
      <c r="D345" s="127"/>
      <c r="E345" s="542" t="str">
        <f>CONCATENATE("Director ",[5]NOMBRE!B1)</f>
        <v xml:space="preserve">Director </v>
      </c>
      <c r="F345" s="542"/>
    </row>
    <row r="346" spans="1:6" ht="12.75" x14ac:dyDescent="0.2">
      <c r="A346" s="114"/>
      <c r="B346" s="114"/>
      <c r="C346" s="114"/>
      <c r="D346" s="138"/>
      <c r="E346" s="114"/>
      <c r="F346" s="127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0" zoomScaleNormal="70" workbookViewId="0">
      <selection activeCell="C16" sqref="C16"/>
    </sheetView>
  </sheetViews>
  <sheetFormatPr baseColWidth="10" defaultRowHeight="10.5" x14ac:dyDescent="0.15"/>
  <cols>
    <col min="1" max="1" width="20.28515625" style="225" customWidth="1"/>
    <col min="2" max="2" width="83.140625" style="225" customWidth="1"/>
    <col min="3" max="5" width="21.42578125" style="225" customWidth="1"/>
    <col min="6" max="6" width="19.5703125" style="226" customWidth="1"/>
    <col min="7" max="7" width="2.42578125" style="225" customWidth="1"/>
    <col min="8" max="9" width="5.140625" style="225" customWidth="1"/>
    <col min="10" max="256" width="11.42578125" style="225"/>
    <col min="257" max="257" width="20.28515625" style="225" customWidth="1"/>
    <col min="258" max="258" width="83.140625" style="225" customWidth="1"/>
    <col min="259" max="261" width="21.42578125" style="225" customWidth="1"/>
    <col min="262" max="262" width="19.5703125" style="225" customWidth="1"/>
    <col min="263" max="263" width="2.42578125" style="225" customWidth="1"/>
    <col min="264" max="265" width="5.140625" style="225" customWidth="1"/>
    <col min="266" max="512" width="11.42578125" style="225"/>
    <col min="513" max="513" width="20.28515625" style="225" customWidth="1"/>
    <col min="514" max="514" width="83.140625" style="225" customWidth="1"/>
    <col min="515" max="517" width="21.42578125" style="225" customWidth="1"/>
    <col min="518" max="518" width="19.5703125" style="225" customWidth="1"/>
    <col min="519" max="519" width="2.42578125" style="225" customWidth="1"/>
    <col min="520" max="521" width="5.140625" style="225" customWidth="1"/>
    <col min="522" max="768" width="11.42578125" style="225"/>
    <col min="769" max="769" width="20.28515625" style="225" customWidth="1"/>
    <col min="770" max="770" width="83.140625" style="225" customWidth="1"/>
    <col min="771" max="773" width="21.42578125" style="225" customWidth="1"/>
    <col min="774" max="774" width="19.5703125" style="225" customWidth="1"/>
    <col min="775" max="775" width="2.42578125" style="225" customWidth="1"/>
    <col min="776" max="777" width="5.140625" style="225" customWidth="1"/>
    <col min="778" max="1024" width="11.42578125" style="225"/>
    <col min="1025" max="1025" width="20.28515625" style="225" customWidth="1"/>
    <col min="1026" max="1026" width="83.140625" style="225" customWidth="1"/>
    <col min="1027" max="1029" width="21.42578125" style="225" customWidth="1"/>
    <col min="1030" max="1030" width="19.5703125" style="225" customWidth="1"/>
    <col min="1031" max="1031" width="2.42578125" style="225" customWidth="1"/>
    <col min="1032" max="1033" width="5.140625" style="225" customWidth="1"/>
    <col min="1034" max="1280" width="11.42578125" style="225"/>
    <col min="1281" max="1281" width="20.28515625" style="225" customWidth="1"/>
    <col min="1282" max="1282" width="83.140625" style="225" customWidth="1"/>
    <col min="1283" max="1285" width="21.42578125" style="225" customWidth="1"/>
    <col min="1286" max="1286" width="19.5703125" style="225" customWidth="1"/>
    <col min="1287" max="1287" width="2.42578125" style="225" customWidth="1"/>
    <col min="1288" max="1289" width="5.140625" style="225" customWidth="1"/>
    <col min="1290" max="1536" width="11.42578125" style="225"/>
    <col min="1537" max="1537" width="20.28515625" style="225" customWidth="1"/>
    <col min="1538" max="1538" width="83.140625" style="225" customWidth="1"/>
    <col min="1539" max="1541" width="21.42578125" style="225" customWidth="1"/>
    <col min="1542" max="1542" width="19.5703125" style="225" customWidth="1"/>
    <col min="1543" max="1543" width="2.42578125" style="225" customWidth="1"/>
    <col min="1544" max="1545" width="5.140625" style="225" customWidth="1"/>
    <col min="1546" max="1792" width="11.42578125" style="225"/>
    <col min="1793" max="1793" width="20.28515625" style="225" customWidth="1"/>
    <col min="1794" max="1794" width="83.140625" style="225" customWidth="1"/>
    <col min="1795" max="1797" width="21.42578125" style="225" customWidth="1"/>
    <col min="1798" max="1798" width="19.5703125" style="225" customWidth="1"/>
    <col min="1799" max="1799" width="2.42578125" style="225" customWidth="1"/>
    <col min="1800" max="1801" width="5.140625" style="225" customWidth="1"/>
    <col min="1802" max="2048" width="11.42578125" style="225"/>
    <col min="2049" max="2049" width="20.28515625" style="225" customWidth="1"/>
    <col min="2050" max="2050" width="83.140625" style="225" customWidth="1"/>
    <col min="2051" max="2053" width="21.42578125" style="225" customWidth="1"/>
    <col min="2054" max="2054" width="19.5703125" style="225" customWidth="1"/>
    <col min="2055" max="2055" width="2.42578125" style="225" customWidth="1"/>
    <col min="2056" max="2057" width="5.140625" style="225" customWidth="1"/>
    <col min="2058" max="2304" width="11.42578125" style="225"/>
    <col min="2305" max="2305" width="20.28515625" style="225" customWidth="1"/>
    <col min="2306" max="2306" width="83.140625" style="225" customWidth="1"/>
    <col min="2307" max="2309" width="21.42578125" style="225" customWidth="1"/>
    <col min="2310" max="2310" width="19.5703125" style="225" customWidth="1"/>
    <col min="2311" max="2311" width="2.42578125" style="225" customWidth="1"/>
    <col min="2312" max="2313" width="5.140625" style="225" customWidth="1"/>
    <col min="2314" max="2560" width="11.42578125" style="225"/>
    <col min="2561" max="2561" width="20.28515625" style="225" customWidth="1"/>
    <col min="2562" max="2562" width="83.140625" style="225" customWidth="1"/>
    <col min="2563" max="2565" width="21.42578125" style="225" customWidth="1"/>
    <col min="2566" max="2566" width="19.5703125" style="225" customWidth="1"/>
    <col min="2567" max="2567" width="2.42578125" style="225" customWidth="1"/>
    <col min="2568" max="2569" width="5.140625" style="225" customWidth="1"/>
    <col min="2570" max="2816" width="11.42578125" style="225"/>
    <col min="2817" max="2817" width="20.28515625" style="225" customWidth="1"/>
    <col min="2818" max="2818" width="83.140625" style="225" customWidth="1"/>
    <col min="2819" max="2821" width="21.42578125" style="225" customWidth="1"/>
    <col min="2822" max="2822" width="19.5703125" style="225" customWidth="1"/>
    <col min="2823" max="2823" width="2.42578125" style="225" customWidth="1"/>
    <col min="2824" max="2825" width="5.140625" style="225" customWidth="1"/>
    <col min="2826" max="3072" width="11.42578125" style="225"/>
    <col min="3073" max="3073" width="20.28515625" style="225" customWidth="1"/>
    <col min="3074" max="3074" width="83.140625" style="225" customWidth="1"/>
    <col min="3075" max="3077" width="21.42578125" style="225" customWidth="1"/>
    <col min="3078" max="3078" width="19.5703125" style="225" customWidth="1"/>
    <col min="3079" max="3079" width="2.42578125" style="225" customWidth="1"/>
    <col min="3080" max="3081" width="5.140625" style="225" customWidth="1"/>
    <col min="3082" max="3328" width="11.42578125" style="225"/>
    <col min="3329" max="3329" width="20.28515625" style="225" customWidth="1"/>
    <col min="3330" max="3330" width="83.140625" style="225" customWidth="1"/>
    <col min="3331" max="3333" width="21.42578125" style="225" customWidth="1"/>
    <col min="3334" max="3334" width="19.5703125" style="225" customWidth="1"/>
    <col min="3335" max="3335" width="2.42578125" style="225" customWidth="1"/>
    <col min="3336" max="3337" width="5.140625" style="225" customWidth="1"/>
    <col min="3338" max="3584" width="11.42578125" style="225"/>
    <col min="3585" max="3585" width="20.28515625" style="225" customWidth="1"/>
    <col min="3586" max="3586" width="83.140625" style="225" customWidth="1"/>
    <col min="3587" max="3589" width="21.42578125" style="225" customWidth="1"/>
    <col min="3590" max="3590" width="19.5703125" style="225" customWidth="1"/>
    <col min="3591" max="3591" width="2.42578125" style="225" customWidth="1"/>
    <col min="3592" max="3593" width="5.140625" style="225" customWidth="1"/>
    <col min="3594" max="3840" width="11.42578125" style="225"/>
    <col min="3841" max="3841" width="20.28515625" style="225" customWidth="1"/>
    <col min="3842" max="3842" width="83.140625" style="225" customWidth="1"/>
    <col min="3843" max="3845" width="21.42578125" style="225" customWidth="1"/>
    <col min="3846" max="3846" width="19.5703125" style="225" customWidth="1"/>
    <col min="3847" max="3847" width="2.42578125" style="225" customWidth="1"/>
    <col min="3848" max="3849" width="5.140625" style="225" customWidth="1"/>
    <col min="3850" max="4096" width="11.42578125" style="225"/>
    <col min="4097" max="4097" width="20.28515625" style="225" customWidth="1"/>
    <col min="4098" max="4098" width="83.140625" style="225" customWidth="1"/>
    <col min="4099" max="4101" width="21.42578125" style="225" customWidth="1"/>
    <col min="4102" max="4102" width="19.5703125" style="225" customWidth="1"/>
    <col min="4103" max="4103" width="2.42578125" style="225" customWidth="1"/>
    <col min="4104" max="4105" width="5.140625" style="225" customWidth="1"/>
    <col min="4106" max="4352" width="11.42578125" style="225"/>
    <col min="4353" max="4353" width="20.28515625" style="225" customWidth="1"/>
    <col min="4354" max="4354" width="83.140625" style="225" customWidth="1"/>
    <col min="4355" max="4357" width="21.42578125" style="225" customWidth="1"/>
    <col min="4358" max="4358" width="19.5703125" style="225" customWidth="1"/>
    <col min="4359" max="4359" width="2.42578125" style="225" customWidth="1"/>
    <col min="4360" max="4361" width="5.140625" style="225" customWidth="1"/>
    <col min="4362" max="4608" width="11.42578125" style="225"/>
    <col min="4609" max="4609" width="20.28515625" style="225" customWidth="1"/>
    <col min="4610" max="4610" width="83.140625" style="225" customWidth="1"/>
    <col min="4611" max="4613" width="21.42578125" style="225" customWidth="1"/>
    <col min="4614" max="4614" width="19.5703125" style="225" customWidth="1"/>
    <col min="4615" max="4615" width="2.42578125" style="225" customWidth="1"/>
    <col min="4616" max="4617" width="5.140625" style="225" customWidth="1"/>
    <col min="4618" max="4864" width="11.42578125" style="225"/>
    <col min="4865" max="4865" width="20.28515625" style="225" customWidth="1"/>
    <col min="4866" max="4866" width="83.140625" style="225" customWidth="1"/>
    <col min="4867" max="4869" width="21.42578125" style="225" customWidth="1"/>
    <col min="4870" max="4870" width="19.5703125" style="225" customWidth="1"/>
    <col min="4871" max="4871" width="2.42578125" style="225" customWidth="1"/>
    <col min="4872" max="4873" width="5.140625" style="225" customWidth="1"/>
    <col min="4874" max="5120" width="11.42578125" style="225"/>
    <col min="5121" max="5121" width="20.28515625" style="225" customWidth="1"/>
    <col min="5122" max="5122" width="83.140625" style="225" customWidth="1"/>
    <col min="5123" max="5125" width="21.42578125" style="225" customWidth="1"/>
    <col min="5126" max="5126" width="19.5703125" style="225" customWidth="1"/>
    <col min="5127" max="5127" width="2.42578125" style="225" customWidth="1"/>
    <col min="5128" max="5129" width="5.140625" style="225" customWidth="1"/>
    <col min="5130" max="5376" width="11.42578125" style="225"/>
    <col min="5377" max="5377" width="20.28515625" style="225" customWidth="1"/>
    <col min="5378" max="5378" width="83.140625" style="225" customWidth="1"/>
    <col min="5379" max="5381" width="21.42578125" style="225" customWidth="1"/>
    <col min="5382" max="5382" width="19.5703125" style="225" customWidth="1"/>
    <col min="5383" max="5383" width="2.42578125" style="225" customWidth="1"/>
    <col min="5384" max="5385" width="5.140625" style="225" customWidth="1"/>
    <col min="5386" max="5632" width="11.42578125" style="225"/>
    <col min="5633" max="5633" width="20.28515625" style="225" customWidth="1"/>
    <col min="5634" max="5634" width="83.140625" style="225" customWidth="1"/>
    <col min="5635" max="5637" width="21.42578125" style="225" customWidth="1"/>
    <col min="5638" max="5638" width="19.5703125" style="225" customWidth="1"/>
    <col min="5639" max="5639" width="2.42578125" style="225" customWidth="1"/>
    <col min="5640" max="5641" width="5.140625" style="225" customWidth="1"/>
    <col min="5642" max="5888" width="11.42578125" style="225"/>
    <col min="5889" max="5889" width="20.28515625" style="225" customWidth="1"/>
    <col min="5890" max="5890" width="83.140625" style="225" customWidth="1"/>
    <col min="5891" max="5893" width="21.42578125" style="225" customWidth="1"/>
    <col min="5894" max="5894" width="19.5703125" style="225" customWidth="1"/>
    <col min="5895" max="5895" width="2.42578125" style="225" customWidth="1"/>
    <col min="5896" max="5897" width="5.140625" style="225" customWidth="1"/>
    <col min="5898" max="6144" width="11.42578125" style="225"/>
    <col min="6145" max="6145" width="20.28515625" style="225" customWidth="1"/>
    <col min="6146" max="6146" width="83.140625" style="225" customWidth="1"/>
    <col min="6147" max="6149" width="21.42578125" style="225" customWidth="1"/>
    <col min="6150" max="6150" width="19.5703125" style="225" customWidth="1"/>
    <col min="6151" max="6151" width="2.42578125" style="225" customWidth="1"/>
    <col min="6152" max="6153" width="5.140625" style="225" customWidth="1"/>
    <col min="6154" max="6400" width="11.42578125" style="225"/>
    <col min="6401" max="6401" width="20.28515625" style="225" customWidth="1"/>
    <col min="6402" max="6402" width="83.140625" style="225" customWidth="1"/>
    <col min="6403" max="6405" width="21.42578125" style="225" customWidth="1"/>
    <col min="6406" max="6406" width="19.5703125" style="225" customWidth="1"/>
    <col min="6407" max="6407" width="2.42578125" style="225" customWidth="1"/>
    <col min="6408" max="6409" width="5.140625" style="225" customWidth="1"/>
    <col min="6410" max="6656" width="11.42578125" style="225"/>
    <col min="6657" max="6657" width="20.28515625" style="225" customWidth="1"/>
    <col min="6658" max="6658" width="83.140625" style="225" customWidth="1"/>
    <col min="6659" max="6661" width="21.42578125" style="225" customWidth="1"/>
    <col min="6662" max="6662" width="19.5703125" style="225" customWidth="1"/>
    <col min="6663" max="6663" width="2.42578125" style="225" customWidth="1"/>
    <col min="6664" max="6665" width="5.140625" style="225" customWidth="1"/>
    <col min="6666" max="6912" width="11.42578125" style="225"/>
    <col min="6913" max="6913" width="20.28515625" style="225" customWidth="1"/>
    <col min="6914" max="6914" width="83.140625" style="225" customWidth="1"/>
    <col min="6915" max="6917" width="21.42578125" style="225" customWidth="1"/>
    <col min="6918" max="6918" width="19.5703125" style="225" customWidth="1"/>
    <col min="6919" max="6919" width="2.42578125" style="225" customWidth="1"/>
    <col min="6920" max="6921" width="5.140625" style="225" customWidth="1"/>
    <col min="6922" max="7168" width="11.42578125" style="225"/>
    <col min="7169" max="7169" width="20.28515625" style="225" customWidth="1"/>
    <col min="7170" max="7170" width="83.140625" style="225" customWidth="1"/>
    <col min="7171" max="7173" width="21.42578125" style="225" customWidth="1"/>
    <col min="7174" max="7174" width="19.5703125" style="225" customWidth="1"/>
    <col min="7175" max="7175" width="2.42578125" style="225" customWidth="1"/>
    <col min="7176" max="7177" width="5.140625" style="225" customWidth="1"/>
    <col min="7178" max="7424" width="11.42578125" style="225"/>
    <col min="7425" max="7425" width="20.28515625" style="225" customWidth="1"/>
    <col min="7426" max="7426" width="83.140625" style="225" customWidth="1"/>
    <col min="7427" max="7429" width="21.42578125" style="225" customWidth="1"/>
    <col min="7430" max="7430" width="19.5703125" style="225" customWidth="1"/>
    <col min="7431" max="7431" width="2.42578125" style="225" customWidth="1"/>
    <col min="7432" max="7433" width="5.140625" style="225" customWidth="1"/>
    <col min="7434" max="7680" width="11.42578125" style="225"/>
    <col min="7681" max="7681" width="20.28515625" style="225" customWidth="1"/>
    <col min="7682" max="7682" width="83.140625" style="225" customWidth="1"/>
    <col min="7683" max="7685" width="21.42578125" style="225" customWidth="1"/>
    <col min="7686" max="7686" width="19.5703125" style="225" customWidth="1"/>
    <col min="7687" max="7687" width="2.42578125" style="225" customWidth="1"/>
    <col min="7688" max="7689" width="5.140625" style="225" customWidth="1"/>
    <col min="7690" max="7936" width="11.42578125" style="225"/>
    <col min="7937" max="7937" width="20.28515625" style="225" customWidth="1"/>
    <col min="7938" max="7938" width="83.140625" style="225" customWidth="1"/>
    <col min="7939" max="7941" width="21.42578125" style="225" customWidth="1"/>
    <col min="7942" max="7942" width="19.5703125" style="225" customWidth="1"/>
    <col min="7943" max="7943" width="2.42578125" style="225" customWidth="1"/>
    <col min="7944" max="7945" width="5.140625" style="225" customWidth="1"/>
    <col min="7946" max="8192" width="11.42578125" style="225"/>
    <col min="8193" max="8193" width="20.28515625" style="225" customWidth="1"/>
    <col min="8194" max="8194" width="83.140625" style="225" customWidth="1"/>
    <col min="8195" max="8197" width="21.42578125" style="225" customWidth="1"/>
    <col min="8198" max="8198" width="19.5703125" style="225" customWidth="1"/>
    <col min="8199" max="8199" width="2.42578125" style="225" customWidth="1"/>
    <col min="8200" max="8201" width="5.140625" style="225" customWidth="1"/>
    <col min="8202" max="8448" width="11.42578125" style="225"/>
    <col min="8449" max="8449" width="20.28515625" style="225" customWidth="1"/>
    <col min="8450" max="8450" width="83.140625" style="225" customWidth="1"/>
    <col min="8451" max="8453" width="21.42578125" style="225" customWidth="1"/>
    <col min="8454" max="8454" width="19.5703125" style="225" customWidth="1"/>
    <col min="8455" max="8455" width="2.42578125" style="225" customWidth="1"/>
    <col min="8456" max="8457" width="5.140625" style="225" customWidth="1"/>
    <col min="8458" max="8704" width="11.42578125" style="225"/>
    <col min="8705" max="8705" width="20.28515625" style="225" customWidth="1"/>
    <col min="8706" max="8706" width="83.140625" style="225" customWidth="1"/>
    <col min="8707" max="8709" width="21.42578125" style="225" customWidth="1"/>
    <col min="8710" max="8710" width="19.5703125" style="225" customWidth="1"/>
    <col min="8711" max="8711" width="2.42578125" style="225" customWidth="1"/>
    <col min="8712" max="8713" width="5.140625" style="225" customWidth="1"/>
    <col min="8714" max="8960" width="11.42578125" style="225"/>
    <col min="8961" max="8961" width="20.28515625" style="225" customWidth="1"/>
    <col min="8962" max="8962" width="83.140625" style="225" customWidth="1"/>
    <col min="8963" max="8965" width="21.42578125" style="225" customWidth="1"/>
    <col min="8966" max="8966" width="19.5703125" style="225" customWidth="1"/>
    <col min="8967" max="8967" width="2.42578125" style="225" customWidth="1"/>
    <col min="8968" max="8969" width="5.140625" style="225" customWidth="1"/>
    <col min="8970" max="9216" width="11.42578125" style="225"/>
    <col min="9217" max="9217" width="20.28515625" style="225" customWidth="1"/>
    <col min="9218" max="9218" width="83.140625" style="225" customWidth="1"/>
    <col min="9219" max="9221" width="21.42578125" style="225" customWidth="1"/>
    <col min="9222" max="9222" width="19.5703125" style="225" customWidth="1"/>
    <col min="9223" max="9223" width="2.42578125" style="225" customWidth="1"/>
    <col min="9224" max="9225" width="5.140625" style="225" customWidth="1"/>
    <col min="9226" max="9472" width="11.42578125" style="225"/>
    <col min="9473" max="9473" width="20.28515625" style="225" customWidth="1"/>
    <col min="9474" max="9474" width="83.140625" style="225" customWidth="1"/>
    <col min="9475" max="9477" width="21.42578125" style="225" customWidth="1"/>
    <col min="9478" max="9478" width="19.5703125" style="225" customWidth="1"/>
    <col min="9479" max="9479" width="2.42578125" style="225" customWidth="1"/>
    <col min="9480" max="9481" width="5.140625" style="225" customWidth="1"/>
    <col min="9482" max="9728" width="11.42578125" style="225"/>
    <col min="9729" max="9729" width="20.28515625" style="225" customWidth="1"/>
    <col min="9730" max="9730" width="83.140625" style="225" customWidth="1"/>
    <col min="9731" max="9733" width="21.42578125" style="225" customWidth="1"/>
    <col min="9734" max="9734" width="19.5703125" style="225" customWidth="1"/>
    <col min="9735" max="9735" width="2.42578125" style="225" customWidth="1"/>
    <col min="9736" max="9737" width="5.140625" style="225" customWidth="1"/>
    <col min="9738" max="9984" width="11.42578125" style="225"/>
    <col min="9985" max="9985" width="20.28515625" style="225" customWidth="1"/>
    <col min="9986" max="9986" width="83.140625" style="225" customWidth="1"/>
    <col min="9987" max="9989" width="21.42578125" style="225" customWidth="1"/>
    <col min="9990" max="9990" width="19.5703125" style="225" customWidth="1"/>
    <col min="9991" max="9991" width="2.42578125" style="225" customWidth="1"/>
    <col min="9992" max="9993" width="5.140625" style="225" customWidth="1"/>
    <col min="9994" max="10240" width="11.42578125" style="225"/>
    <col min="10241" max="10241" width="20.28515625" style="225" customWidth="1"/>
    <col min="10242" max="10242" width="83.140625" style="225" customWidth="1"/>
    <col min="10243" max="10245" width="21.42578125" style="225" customWidth="1"/>
    <col min="10246" max="10246" width="19.5703125" style="225" customWidth="1"/>
    <col min="10247" max="10247" width="2.42578125" style="225" customWidth="1"/>
    <col min="10248" max="10249" width="5.140625" style="225" customWidth="1"/>
    <col min="10250" max="10496" width="11.42578125" style="225"/>
    <col min="10497" max="10497" width="20.28515625" style="225" customWidth="1"/>
    <col min="10498" max="10498" width="83.140625" style="225" customWidth="1"/>
    <col min="10499" max="10501" width="21.42578125" style="225" customWidth="1"/>
    <col min="10502" max="10502" width="19.5703125" style="225" customWidth="1"/>
    <col min="10503" max="10503" width="2.42578125" style="225" customWidth="1"/>
    <col min="10504" max="10505" width="5.140625" style="225" customWidth="1"/>
    <col min="10506" max="10752" width="11.42578125" style="225"/>
    <col min="10753" max="10753" width="20.28515625" style="225" customWidth="1"/>
    <col min="10754" max="10754" width="83.140625" style="225" customWidth="1"/>
    <col min="10755" max="10757" width="21.42578125" style="225" customWidth="1"/>
    <col min="10758" max="10758" width="19.5703125" style="225" customWidth="1"/>
    <col min="10759" max="10759" width="2.42578125" style="225" customWidth="1"/>
    <col min="10760" max="10761" width="5.140625" style="225" customWidth="1"/>
    <col min="10762" max="11008" width="11.42578125" style="225"/>
    <col min="11009" max="11009" width="20.28515625" style="225" customWidth="1"/>
    <col min="11010" max="11010" width="83.140625" style="225" customWidth="1"/>
    <col min="11011" max="11013" width="21.42578125" style="225" customWidth="1"/>
    <col min="11014" max="11014" width="19.5703125" style="225" customWidth="1"/>
    <col min="11015" max="11015" width="2.42578125" style="225" customWidth="1"/>
    <col min="11016" max="11017" width="5.140625" style="225" customWidth="1"/>
    <col min="11018" max="11264" width="11.42578125" style="225"/>
    <col min="11265" max="11265" width="20.28515625" style="225" customWidth="1"/>
    <col min="11266" max="11266" width="83.140625" style="225" customWidth="1"/>
    <col min="11267" max="11269" width="21.42578125" style="225" customWidth="1"/>
    <col min="11270" max="11270" width="19.5703125" style="225" customWidth="1"/>
    <col min="11271" max="11271" width="2.42578125" style="225" customWidth="1"/>
    <col min="11272" max="11273" width="5.140625" style="225" customWidth="1"/>
    <col min="11274" max="11520" width="11.42578125" style="225"/>
    <col min="11521" max="11521" width="20.28515625" style="225" customWidth="1"/>
    <col min="11522" max="11522" width="83.140625" style="225" customWidth="1"/>
    <col min="11523" max="11525" width="21.42578125" style="225" customWidth="1"/>
    <col min="11526" max="11526" width="19.5703125" style="225" customWidth="1"/>
    <col min="11527" max="11527" width="2.42578125" style="225" customWidth="1"/>
    <col min="11528" max="11529" width="5.140625" style="225" customWidth="1"/>
    <col min="11530" max="11776" width="11.42578125" style="225"/>
    <col min="11777" max="11777" width="20.28515625" style="225" customWidth="1"/>
    <col min="11778" max="11778" width="83.140625" style="225" customWidth="1"/>
    <col min="11779" max="11781" width="21.42578125" style="225" customWidth="1"/>
    <col min="11782" max="11782" width="19.5703125" style="225" customWidth="1"/>
    <col min="11783" max="11783" width="2.42578125" style="225" customWidth="1"/>
    <col min="11784" max="11785" width="5.140625" style="225" customWidth="1"/>
    <col min="11786" max="12032" width="11.42578125" style="225"/>
    <col min="12033" max="12033" width="20.28515625" style="225" customWidth="1"/>
    <col min="12034" max="12034" width="83.140625" style="225" customWidth="1"/>
    <col min="12035" max="12037" width="21.42578125" style="225" customWidth="1"/>
    <col min="12038" max="12038" width="19.5703125" style="225" customWidth="1"/>
    <col min="12039" max="12039" width="2.42578125" style="225" customWidth="1"/>
    <col min="12040" max="12041" width="5.140625" style="225" customWidth="1"/>
    <col min="12042" max="12288" width="11.42578125" style="225"/>
    <col min="12289" max="12289" width="20.28515625" style="225" customWidth="1"/>
    <col min="12290" max="12290" width="83.140625" style="225" customWidth="1"/>
    <col min="12291" max="12293" width="21.42578125" style="225" customWidth="1"/>
    <col min="12294" max="12294" width="19.5703125" style="225" customWidth="1"/>
    <col min="12295" max="12295" width="2.42578125" style="225" customWidth="1"/>
    <col min="12296" max="12297" width="5.140625" style="225" customWidth="1"/>
    <col min="12298" max="12544" width="11.42578125" style="225"/>
    <col min="12545" max="12545" width="20.28515625" style="225" customWidth="1"/>
    <col min="12546" max="12546" width="83.140625" style="225" customWidth="1"/>
    <col min="12547" max="12549" width="21.42578125" style="225" customWidth="1"/>
    <col min="12550" max="12550" width="19.5703125" style="225" customWidth="1"/>
    <col min="12551" max="12551" width="2.42578125" style="225" customWidth="1"/>
    <col min="12552" max="12553" width="5.140625" style="225" customWidth="1"/>
    <col min="12554" max="12800" width="11.42578125" style="225"/>
    <col min="12801" max="12801" width="20.28515625" style="225" customWidth="1"/>
    <col min="12802" max="12802" width="83.140625" style="225" customWidth="1"/>
    <col min="12803" max="12805" width="21.42578125" style="225" customWidth="1"/>
    <col min="12806" max="12806" width="19.5703125" style="225" customWidth="1"/>
    <col min="12807" max="12807" width="2.42578125" style="225" customWidth="1"/>
    <col min="12808" max="12809" width="5.140625" style="225" customWidth="1"/>
    <col min="12810" max="13056" width="11.42578125" style="225"/>
    <col min="13057" max="13057" width="20.28515625" style="225" customWidth="1"/>
    <col min="13058" max="13058" width="83.140625" style="225" customWidth="1"/>
    <col min="13059" max="13061" width="21.42578125" style="225" customWidth="1"/>
    <col min="13062" max="13062" width="19.5703125" style="225" customWidth="1"/>
    <col min="13063" max="13063" width="2.42578125" style="225" customWidth="1"/>
    <col min="13064" max="13065" width="5.140625" style="225" customWidth="1"/>
    <col min="13066" max="13312" width="11.42578125" style="225"/>
    <col min="13313" max="13313" width="20.28515625" style="225" customWidth="1"/>
    <col min="13314" max="13314" width="83.140625" style="225" customWidth="1"/>
    <col min="13315" max="13317" width="21.42578125" style="225" customWidth="1"/>
    <col min="13318" max="13318" width="19.5703125" style="225" customWidth="1"/>
    <col min="13319" max="13319" width="2.42578125" style="225" customWidth="1"/>
    <col min="13320" max="13321" width="5.140625" style="225" customWidth="1"/>
    <col min="13322" max="13568" width="11.42578125" style="225"/>
    <col min="13569" max="13569" width="20.28515625" style="225" customWidth="1"/>
    <col min="13570" max="13570" width="83.140625" style="225" customWidth="1"/>
    <col min="13571" max="13573" width="21.42578125" style="225" customWidth="1"/>
    <col min="13574" max="13574" width="19.5703125" style="225" customWidth="1"/>
    <col min="13575" max="13575" width="2.42578125" style="225" customWidth="1"/>
    <col min="13576" max="13577" width="5.140625" style="225" customWidth="1"/>
    <col min="13578" max="13824" width="11.42578125" style="225"/>
    <col min="13825" max="13825" width="20.28515625" style="225" customWidth="1"/>
    <col min="13826" max="13826" width="83.140625" style="225" customWidth="1"/>
    <col min="13827" max="13829" width="21.42578125" style="225" customWidth="1"/>
    <col min="13830" max="13830" width="19.5703125" style="225" customWidth="1"/>
    <col min="13831" max="13831" width="2.42578125" style="225" customWidth="1"/>
    <col min="13832" max="13833" width="5.140625" style="225" customWidth="1"/>
    <col min="13834" max="14080" width="11.42578125" style="225"/>
    <col min="14081" max="14081" width="20.28515625" style="225" customWidth="1"/>
    <col min="14082" max="14082" width="83.140625" style="225" customWidth="1"/>
    <col min="14083" max="14085" width="21.42578125" style="225" customWidth="1"/>
    <col min="14086" max="14086" width="19.5703125" style="225" customWidth="1"/>
    <col min="14087" max="14087" width="2.42578125" style="225" customWidth="1"/>
    <col min="14088" max="14089" width="5.140625" style="225" customWidth="1"/>
    <col min="14090" max="14336" width="11.42578125" style="225"/>
    <col min="14337" max="14337" width="20.28515625" style="225" customWidth="1"/>
    <col min="14338" max="14338" width="83.140625" style="225" customWidth="1"/>
    <col min="14339" max="14341" width="21.42578125" style="225" customWidth="1"/>
    <col min="14342" max="14342" width="19.5703125" style="225" customWidth="1"/>
    <col min="14343" max="14343" width="2.42578125" style="225" customWidth="1"/>
    <col min="14344" max="14345" width="5.140625" style="225" customWidth="1"/>
    <col min="14346" max="14592" width="11.42578125" style="225"/>
    <col min="14593" max="14593" width="20.28515625" style="225" customWidth="1"/>
    <col min="14594" max="14594" width="83.140625" style="225" customWidth="1"/>
    <col min="14595" max="14597" width="21.42578125" style="225" customWidth="1"/>
    <col min="14598" max="14598" width="19.5703125" style="225" customWidth="1"/>
    <col min="14599" max="14599" width="2.42578125" style="225" customWidth="1"/>
    <col min="14600" max="14601" width="5.140625" style="225" customWidth="1"/>
    <col min="14602" max="14848" width="11.42578125" style="225"/>
    <col min="14849" max="14849" width="20.28515625" style="225" customWidth="1"/>
    <col min="14850" max="14850" width="83.140625" style="225" customWidth="1"/>
    <col min="14851" max="14853" width="21.42578125" style="225" customWidth="1"/>
    <col min="14854" max="14854" width="19.5703125" style="225" customWidth="1"/>
    <col min="14855" max="14855" width="2.42578125" style="225" customWidth="1"/>
    <col min="14856" max="14857" width="5.140625" style="225" customWidth="1"/>
    <col min="14858" max="15104" width="11.42578125" style="225"/>
    <col min="15105" max="15105" width="20.28515625" style="225" customWidth="1"/>
    <col min="15106" max="15106" width="83.140625" style="225" customWidth="1"/>
    <col min="15107" max="15109" width="21.42578125" style="225" customWidth="1"/>
    <col min="15110" max="15110" width="19.5703125" style="225" customWidth="1"/>
    <col min="15111" max="15111" width="2.42578125" style="225" customWidth="1"/>
    <col min="15112" max="15113" width="5.140625" style="225" customWidth="1"/>
    <col min="15114" max="15360" width="11.42578125" style="225"/>
    <col min="15361" max="15361" width="20.28515625" style="225" customWidth="1"/>
    <col min="15362" max="15362" width="83.140625" style="225" customWidth="1"/>
    <col min="15363" max="15365" width="21.42578125" style="225" customWidth="1"/>
    <col min="15366" max="15366" width="19.5703125" style="225" customWidth="1"/>
    <col min="15367" max="15367" width="2.42578125" style="225" customWidth="1"/>
    <col min="15368" max="15369" width="5.140625" style="225" customWidth="1"/>
    <col min="15370" max="15616" width="11.42578125" style="225"/>
    <col min="15617" max="15617" width="20.28515625" style="225" customWidth="1"/>
    <col min="15618" max="15618" width="83.140625" style="225" customWidth="1"/>
    <col min="15619" max="15621" width="21.42578125" style="225" customWidth="1"/>
    <col min="15622" max="15622" width="19.5703125" style="225" customWidth="1"/>
    <col min="15623" max="15623" width="2.42578125" style="225" customWidth="1"/>
    <col min="15624" max="15625" width="5.140625" style="225" customWidth="1"/>
    <col min="15626" max="15872" width="11.42578125" style="225"/>
    <col min="15873" max="15873" width="20.28515625" style="225" customWidth="1"/>
    <col min="15874" max="15874" width="83.140625" style="225" customWidth="1"/>
    <col min="15875" max="15877" width="21.42578125" style="225" customWidth="1"/>
    <col min="15878" max="15878" width="19.5703125" style="225" customWidth="1"/>
    <col min="15879" max="15879" width="2.42578125" style="225" customWidth="1"/>
    <col min="15880" max="15881" width="5.140625" style="225" customWidth="1"/>
    <col min="15882" max="16128" width="11.42578125" style="225"/>
    <col min="16129" max="16129" width="20.28515625" style="225" customWidth="1"/>
    <col min="16130" max="16130" width="83.140625" style="225" customWidth="1"/>
    <col min="16131" max="16133" width="21.42578125" style="225" customWidth="1"/>
    <col min="16134" max="16134" width="19.5703125" style="225" customWidth="1"/>
    <col min="16135" max="16135" width="2.42578125" style="225" customWidth="1"/>
    <col min="16136" max="16137" width="5.140625" style="225" customWidth="1"/>
    <col min="16138" max="16384" width="11.42578125" style="225"/>
  </cols>
  <sheetData>
    <row r="1" spans="1:7" ht="12.75" x14ac:dyDescent="0.2">
      <c r="A1" s="256" t="s">
        <v>0</v>
      </c>
      <c r="B1" s="257"/>
      <c r="C1" s="577" t="s">
        <v>1</v>
      </c>
      <c r="D1" s="578"/>
      <c r="E1" s="579"/>
      <c r="F1" s="258"/>
      <c r="G1" s="255"/>
    </row>
    <row r="2" spans="1:7" ht="12.75" x14ac:dyDescent="0.2">
      <c r="A2" s="256" t="s">
        <v>471</v>
      </c>
      <c r="B2" s="257"/>
      <c r="C2" s="580"/>
      <c r="D2" s="581"/>
      <c r="E2" s="582"/>
      <c r="F2" s="259"/>
      <c r="G2" s="260"/>
    </row>
    <row r="3" spans="1:7" ht="12.75" x14ac:dyDescent="0.2">
      <c r="A3" s="256" t="s">
        <v>472</v>
      </c>
      <c r="B3" s="257"/>
      <c r="C3" s="577" t="s">
        <v>2</v>
      </c>
      <c r="D3" s="578"/>
      <c r="E3" s="579"/>
      <c r="F3" s="259"/>
      <c r="G3" s="261"/>
    </row>
    <row r="4" spans="1:7" ht="12.75" x14ac:dyDescent="0.2">
      <c r="A4" s="256" t="s">
        <v>473</v>
      </c>
      <c r="B4" s="257"/>
      <c r="C4" s="580" t="s">
        <v>474</v>
      </c>
      <c r="D4" s="581"/>
      <c r="E4" s="582"/>
      <c r="F4" s="259"/>
      <c r="G4" s="261"/>
    </row>
    <row r="5" spans="1:7" ht="12.75" x14ac:dyDescent="0.2">
      <c r="A5" s="256" t="s">
        <v>475</v>
      </c>
      <c r="B5" s="257"/>
      <c r="C5" s="577" t="s">
        <v>3</v>
      </c>
      <c r="D5" s="578"/>
      <c r="E5" s="579"/>
      <c r="F5" s="259"/>
      <c r="G5" s="261"/>
    </row>
    <row r="6" spans="1:7" ht="12.75" x14ac:dyDescent="0.2">
      <c r="A6" s="262"/>
      <c r="B6" s="262"/>
      <c r="C6" s="580">
        <v>2014</v>
      </c>
      <c r="D6" s="581"/>
      <c r="E6" s="582"/>
      <c r="F6" s="259"/>
      <c r="G6" s="261"/>
    </row>
    <row r="7" spans="1:7" ht="15" x14ac:dyDescent="0.2">
      <c r="A7" s="589" t="s">
        <v>4</v>
      </c>
      <c r="B7" s="590"/>
      <c r="C7" s="594" t="s">
        <v>5</v>
      </c>
      <c r="D7" s="595"/>
      <c r="E7" s="596"/>
      <c r="F7" s="259"/>
      <c r="G7" s="261"/>
    </row>
    <row r="8" spans="1:7" ht="15" x14ac:dyDescent="0.2">
      <c r="A8" s="262"/>
      <c r="B8" s="486" t="s">
        <v>6</v>
      </c>
      <c r="C8" s="580" t="s">
        <v>476</v>
      </c>
      <c r="D8" s="581"/>
      <c r="E8" s="582"/>
      <c r="F8" s="259"/>
      <c r="G8" s="261"/>
    </row>
    <row r="9" spans="1:7" ht="12.75" x14ac:dyDescent="0.2">
      <c r="A9" s="262"/>
      <c r="B9" s="262"/>
      <c r="C9" s="262"/>
      <c r="D9" s="262"/>
      <c r="E9" s="262"/>
      <c r="F9" s="259"/>
      <c r="G9" s="261"/>
    </row>
    <row r="10" spans="1:7" ht="12.75" x14ac:dyDescent="0.2">
      <c r="A10" s="262"/>
      <c r="B10" s="262"/>
      <c r="C10" s="262"/>
      <c r="D10" s="262"/>
      <c r="E10" s="262"/>
      <c r="F10" s="259"/>
      <c r="G10" s="263"/>
    </row>
    <row r="11" spans="1:7" ht="12.75" x14ac:dyDescent="0.2">
      <c r="A11" s="583" t="s">
        <v>7</v>
      </c>
      <c r="B11" s="584"/>
      <c r="C11" s="584"/>
      <c r="D11" s="584"/>
      <c r="E11" s="585"/>
      <c r="F11" s="259"/>
      <c r="G11" s="255"/>
    </row>
    <row r="12" spans="1:7" ht="43.5" customHeight="1" x14ac:dyDescent="0.2">
      <c r="A12" s="264" t="s">
        <v>8</v>
      </c>
      <c r="B12" s="264" t="s">
        <v>9</v>
      </c>
      <c r="C12" s="265" t="s">
        <v>10</v>
      </c>
      <c r="D12" s="310" t="s">
        <v>11</v>
      </c>
      <c r="E12" s="266" t="s">
        <v>12</v>
      </c>
      <c r="F12" s="262"/>
      <c r="G12" s="255"/>
    </row>
    <row r="13" spans="1:7" ht="12.75" customHeight="1" x14ac:dyDescent="0.2">
      <c r="A13" s="586" t="s">
        <v>13</v>
      </c>
      <c r="B13" s="587"/>
      <c r="C13" s="587"/>
      <c r="D13" s="587"/>
      <c r="E13" s="588"/>
      <c r="F13" s="262"/>
      <c r="G13" s="255"/>
    </row>
    <row r="14" spans="1:7" ht="15" customHeight="1" x14ac:dyDescent="0.2">
      <c r="A14" s="434" t="s">
        <v>14</v>
      </c>
      <c r="B14" s="443" t="s">
        <v>15</v>
      </c>
      <c r="C14" s="380">
        <v>0</v>
      </c>
      <c r="D14" s="267">
        <v>4170</v>
      </c>
      <c r="E14" s="268">
        <v>0</v>
      </c>
      <c r="F14" s="262"/>
      <c r="G14" s="255"/>
    </row>
    <row r="15" spans="1:7" ht="15" customHeight="1" x14ac:dyDescent="0.2">
      <c r="A15" s="435" t="s">
        <v>16</v>
      </c>
      <c r="B15" s="431" t="s">
        <v>17</v>
      </c>
      <c r="C15" s="380">
        <v>0</v>
      </c>
      <c r="D15" s="270">
        <v>5240</v>
      </c>
      <c r="E15" s="271">
        <v>0</v>
      </c>
      <c r="F15" s="262"/>
      <c r="G15" s="255"/>
    </row>
    <row r="16" spans="1:7" ht="15" customHeight="1" x14ac:dyDescent="0.2">
      <c r="A16" s="435" t="s">
        <v>18</v>
      </c>
      <c r="B16" s="431" t="s">
        <v>19</v>
      </c>
      <c r="C16" s="380">
        <v>6547</v>
      </c>
      <c r="D16" s="270">
        <v>11250</v>
      </c>
      <c r="E16" s="271">
        <v>73653750</v>
      </c>
      <c r="F16" s="262"/>
      <c r="G16" s="255"/>
    </row>
    <row r="17" spans="1:6" ht="15" customHeight="1" x14ac:dyDescent="0.2">
      <c r="A17" s="435" t="s">
        <v>20</v>
      </c>
      <c r="B17" s="431" t="s">
        <v>21</v>
      </c>
      <c r="C17" s="380">
        <v>0</v>
      </c>
      <c r="D17" s="270">
        <v>6720</v>
      </c>
      <c r="E17" s="271">
        <v>0</v>
      </c>
      <c r="F17" s="262"/>
    </row>
    <row r="18" spans="1:6" ht="15" customHeight="1" x14ac:dyDescent="0.2">
      <c r="A18" s="435" t="s">
        <v>22</v>
      </c>
      <c r="B18" s="431" t="s">
        <v>23</v>
      </c>
      <c r="C18" s="380">
        <v>0</v>
      </c>
      <c r="D18" s="270">
        <v>7370</v>
      </c>
      <c r="E18" s="271">
        <v>0</v>
      </c>
      <c r="F18" s="262"/>
    </row>
    <row r="19" spans="1:6" ht="33" customHeight="1" x14ac:dyDescent="0.2">
      <c r="A19" s="435" t="s">
        <v>24</v>
      </c>
      <c r="B19" s="485" t="s">
        <v>25</v>
      </c>
      <c r="C19" s="380">
        <v>0</v>
      </c>
      <c r="D19" s="270">
        <v>5690</v>
      </c>
      <c r="E19" s="271">
        <v>0</v>
      </c>
      <c r="F19" s="262"/>
    </row>
    <row r="20" spans="1:6" ht="42.75" customHeight="1" x14ac:dyDescent="0.2">
      <c r="A20" s="435" t="s">
        <v>26</v>
      </c>
      <c r="B20" s="485" t="s">
        <v>27</v>
      </c>
      <c r="C20" s="380">
        <v>0</v>
      </c>
      <c r="D20" s="270">
        <v>6820</v>
      </c>
      <c r="E20" s="271">
        <v>0</v>
      </c>
      <c r="F20" s="262"/>
    </row>
    <row r="21" spans="1:6" ht="42.75" customHeight="1" x14ac:dyDescent="0.2">
      <c r="A21" s="435" t="s">
        <v>28</v>
      </c>
      <c r="B21" s="485" t="s">
        <v>29</v>
      </c>
      <c r="C21" s="380">
        <v>0</v>
      </c>
      <c r="D21" s="270">
        <v>8460</v>
      </c>
      <c r="E21" s="271">
        <v>0</v>
      </c>
      <c r="F21" s="262"/>
    </row>
    <row r="22" spans="1:6" ht="32.25" customHeight="1" x14ac:dyDescent="0.2">
      <c r="A22" s="435" t="s">
        <v>30</v>
      </c>
      <c r="B22" s="485" t="s">
        <v>31</v>
      </c>
      <c r="C22" s="380">
        <v>2019</v>
      </c>
      <c r="D22" s="270">
        <v>5690</v>
      </c>
      <c r="E22" s="271">
        <v>11488110</v>
      </c>
      <c r="F22" s="262"/>
    </row>
    <row r="23" spans="1:6" ht="40.5" customHeight="1" x14ac:dyDescent="0.2">
      <c r="A23" s="435" t="s">
        <v>32</v>
      </c>
      <c r="B23" s="485" t="s">
        <v>33</v>
      </c>
      <c r="C23" s="380">
        <v>1148</v>
      </c>
      <c r="D23" s="270">
        <v>6820</v>
      </c>
      <c r="E23" s="271">
        <v>7829360</v>
      </c>
      <c r="F23" s="262"/>
    </row>
    <row r="24" spans="1:6" ht="27" customHeight="1" x14ac:dyDescent="0.2">
      <c r="A24" s="435" t="s">
        <v>34</v>
      </c>
      <c r="B24" s="485" t="s">
        <v>35</v>
      </c>
      <c r="C24" s="380">
        <v>2278</v>
      </c>
      <c r="D24" s="270">
        <v>8460</v>
      </c>
      <c r="E24" s="271">
        <v>19271880</v>
      </c>
      <c r="F24" s="262"/>
    </row>
    <row r="25" spans="1:6" ht="15" customHeight="1" x14ac:dyDescent="0.2">
      <c r="A25" s="435" t="s">
        <v>36</v>
      </c>
      <c r="B25" s="430" t="s">
        <v>37</v>
      </c>
      <c r="C25" s="380">
        <v>55</v>
      </c>
      <c r="D25" s="270">
        <v>6900</v>
      </c>
      <c r="E25" s="271">
        <v>379500</v>
      </c>
      <c r="F25" s="262"/>
    </row>
    <row r="26" spans="1:6" ht="15" customHeight="1" x14ac:dyDescent="0.2">
      <c r="A26" s="436" t="s">
        <v>38</v>
      </c>
      <c r="B26" s="450" t="s">
        <v>39</v>
      </c>
      <c r="C26" s="395">
        <v>0</v>
      </c>
      <c r="D26" s="272">
        <v>28580</v>
      </c>
      <c r="E26" s="273">
        <v>0</v>
      </c>
      <c r="F26" s="262"/>
    </row>
    <row r="27" spans="1:6" ht="18" customHeight="1" x14ac:dyDescent="0.2">
      <c r="A27" s="586" t="s">
        <v>40</v>
      </c>
      <c r="B27" s="587"/>
      <c r="C27" s="587"/>
      <c r="D27" s="587"/>
      <c r="E27" s="588"/>
      <c r="F27" s="262"/>
    </row>
    <row r="28" spans="1:6" ht="15" customHeight="1" x14ac:dyDescent="0.2">
      <c r="A28" s="434" t="s">
        <v>41</v>
      </c>
      <c r="B28" s="443" t="s">
        <v>42</v>
      </c>
      <c r="C28" s="383">
        <v>1689</v>
      </c>
      <c r="D28" s="267">
        <v>1110</v>
      </c>
      <c r="E28" s="268">
        <v>1874790</v>
      </c>
      <c r="F28" s="262"/>
    </row>
    <row r="29" spans="1:6" ht="15" customHeight="1" x14ac:dyDescent="0.2">
      <c r="A29" s="435" t="s">
        <v>43</v>
      </c>
      <c r="B29" s="449" t="s">
        <v>44</v>
      </c>
      <c r="C29" s="380">
        <v>0</v>
      </c>
      <c r="D29" s="270">
        <v>1900</v>
      </c>
      <c r="E29" s="271">
        <v>0</v>
      </c>
      <c r="F29" s="262"/>
    </row>
    <row r="30" spans="1:6" ht="15" customHeight="1" x14ac:dyDescent="0.2">
      <c r="A30" s="435" t="s">
        <v>45</v>
      </c>
      <c r="B30" s="431" t="s">
        <v>46</v>
      </c>
      <c r="C30" s="380">
        <v>0</v>
      </c>
      <c r="D30" s="270">
        <v>610</v>
      </c>
      <c r="E30" s="271">
        <v>0</v>
      </c>
      <c r="F30" s="262"/>
    </row>
    <row r="31" spans="1:6" ht="15" customHeight="1" x14ac:dyDescent="0.2">
      <c r="A31" s="435" t="s">
        <v>47</v>
      </c>
      <c r="B31" s="431" t="s">
        <v>48</v>
      </c>
      <c r="C31" s="380">
        <v>72</v>
      </c>
      <c r="D31" s="270">
        <v>1500</v>
      </c>
      <c r="E31" s="271">
        <v>108000</v>
      </c>
      <c r="F31" s="262"/>
    </row>
    <row r="32" spans="1:6" ht="15" customHeight="1" x14ac:dyDescent="0.2">
      <c r="A32" s="435" t="s">
        <v>49</v>
      </c>
      <c r="B32" s="431" t="s">
        <v>50</v>
      </c>
      <c r="C32" s="380">
        <v>664</v>
      </c>
      <c r="D32" s="270">
        <v>1210</v>
      </c>
      <c r="E32" s="271">
        <v>803440</v>
      </c>
      <c r="F32" s="262"/>
    </row>
    <row r="33" spans="1:6" ht="15" customHeight="1" x14ac:dyDescent="0.2">
      <c r="A33" s="435" t="s">
        <v>51</v>
      </c>
      <c r="B33" s="449" t="s">
        <v>52</v>
      </c>
      <c r="C33" s="380">
        <v>0</v>
      </c>
      <c r="D33" s="270">
        <v>1110</v>
      </c>
      <c r="E33" s="271">
        <v>0</v>
      </c>
      <c r="F33" s="262"/>
    </row>
    <row r="34" spans="1:6" ht="15" customHeight="1" x14ac:dyDescent="0.2">
      <c r="A34" s="435" t="s">
        <v>53</v>
      </c>
      <c r="B34" s="431" t="s">
        <v>54</v>
      </c>
      <c r="C34" s="380">
        <v>359</v>
      </c>
      <c r="D34" s="270">
        <v>2700</v>
      </c>
      <c r="E34" s="271">
        <v>969300</v>
      </c>
      <c r="F34" s="262"/>
    </row>
    <row r="35" spans="1:6" ht="15" customHeight="1" x14ac:dyDescent="0.2">
      <c r="A35" s="435" t="s">
        <v>55</v>
      </c>
      <c r="B35" s="449" t="s">
        <v>56</v>
      </c>
      <c r="C35" s="380">
        <v>443</v>
      </c>
      <c r="D35" s="270">
        <v>2700</v>
      </c>
      <c r="E35" s="271">
        <v>1196100</v>
      </c>
      <c r="F35" s="262"/>
    </row>
    <row r="36" spans="1:6" ht="15" customHeight="1" x14ac:dyDescent="0.2">
      <c r="A36" s="435" t="s">
        <v>57</v>
      </c>
      <c r="B36" s="449" t="s">
        <v>58</v>
      </c>
      <c r="C36" s="380">
        <v>4</v>
      </c>
      <c r="D36" s="270">
        <v>10760</v>
      </c>
      <c r="E36" s="271">
        <v>43040</v>
      </c>
      <c r="F36" s="262"/>
    </row>
    <row r="37" spans="1:6" ht="15" customHeight="1" x14ac:dyDescent="0.2">
      <c r="A37" s="436" t="s">
        <v>59</v>
      </c>
      <c r="B37" s="484" t="s">
        <v>60</v>
      </c>
      <c r="C37" s="395">
        <v>53</v>
      </c>
      <c r="D37" s="272">
        <v>12600</v>
      </c>
      <c r="E37" s="273">
        <v>667800</v>
      </c>
      <c r="F37" s="262"/>
    </row>
    <row r="38" spans="1:6" ht="18" customHeight="1" x14ac:dyDescent="0.2">
      <c r="A38" s="591" t="s">
        <v>61</v>
      </c>
      <c r="B38" s="592"/>
      <c r="C38" s="592"/>
      <c r="D38" s="592"/>
      <c r="E38" s="593"/>
      <c r="F38" s="262"/>
    </row>
    <row r="39" spans="1:6" ht="15" customHeight="1" x14ac:dyDescent="0.2">
      <c r="A39" s="434" t="s">
        <v>62</v>
      </c>
      <c r="B39" s="429" t="s">
        <v>63</v>
      </c>
      <c r="C39" s="383">
        <v>0</v>
      </c>
      <c r="D39" s="275">
        <v>3550</v>
      </c>
      <c r="E39" s="276">
        <v>0</v>
      </c>
      <c r="F39" s="262"/>
    </row>
    <row r="40" spans="1:6" ht="15" customHeight="1" x14ac:dyDescent="0.2">
      <c r="A40" s="436" t="s">
        <v>64</v>
      </c>
      <c r="B40" s="444" t="s">
        <v>65</v>
      </c>
      <c r="C40" s="395">
        <v>0</v>
      </c>
      <c r="D40" s="277">
        <v>9180</v>
      </c>
      <c r="E40" s="278">
        <v>0</v>
      </c>
      <c r="F40" s="262"/>
    </row>
    <row r="41" spans="1:6" ht="18" customHeight="1" x14ac:dyDescent="0.2">
      <c r="A41" s="591" t="s">
        <v>66</v>
      </c>
      <c r="B41" s="592"/>
      <c r="C41" s="592"/>
      <c r="D41" s="592"/>
      <c r="E41" s="593"/>
      <c r="F41" s="262"/>
    </row>
    <row r="42" spans="1:6" ht="15" customHeight="1" x14ac:dyDescent="0.2">
      <c r="A42" s="434" t="s">
        <v>67</v>
      </c>
      <c r="B42" s="451" t="s">
        <v>68</v>
      </c>
      <c r="C42" s="383">
        <v>36</v>
      </c>
      <c r="D42" s="275">
        <v>3640</v>
      </c>
      <c r="E42" s="276">
        <v>131040</v>
      </c>
      <c r="F42" s="262"/>
    </row>
    <row r="43" spans="1:6" ht="15" customHeight="1" x14ac:dyDescent="0.2">
      <c r="A43" s="435" t="s">
        <v>69</v>
      </c>
      <c r="B43" s="431" t="s">
        <v>70</v>
      </c>
      <c r="C43" s="380">
        <v>702</v>
      </c>
      <c r="D43" s="270">
        <v>2000</v>
      </c>
      <c r="E43" s="271">
        <v>1404000</v>
      </c>
      <c r="F43" s="262"/>
    </row>
    <row r="44" spans="1:6" ht="15" customHeight="1" x14ac:dyDescent="0.2">
      <c r="A44" s="435" t="s">
        <v>71</v>
      </c>
      <c r="B44" s="431" t="s">
        <v>72</v>
      </c>
      <c r="C44" s="380">
        <v>1</v>
      </c>
      <c r="D44" s="270">
        <v>2000</v>
      </c>
      <c r="E44" s="271">
        <v>2000</v>
      </c>
      <c r="F44" s="262"/>
    </row>
    <row r="45" spans="1:6" ht="15" customHeight="1" x14ac:dyDescent="0.2">
      <c r="A45" s="436" t="s">
        <v>73</v>
      </c>
      <c r="B45" s="432" t="s">
        <v>74</v>
      </c>
      <c r="C45" s="395">
        <v>777</v>
      </c>
      <c r="D45" s="277">
        <v>610</v>
      </c>
      <c r="E45" s="278">
        <v>473970</v>
      </c>
      <c r="F45" s="262"/>
    </row>
    <row r="46" spans="1:6" ht="18" customHeight="1" x14ac:dyDescent="0.2">
      <c r="A46" s="591" t="s">
        <v>75</v>
      </c>
      <c r="B46" s="592"/>
      <c r="C46" s="592"/>
      <c r="D46" s="592"/>
      <c r="E46" s="593"/>
      <c r="F46" s="262"/>
    </row>
    <row r="47" spans="1:6" ht="15" customHeight="1" x14ac:dyDescent="0.2">
      <c r="A47" s="434" t="s">
        <v>76</v>
      </c>
      <c r="B47" s="451" t="s">
        <v>77</v>
      </c>
      <c r="C47" s="383">
        <v>11</v>
      </c>
      <c r="D47" s="275">
        <v>1730</v>
      </c>
      <c r="E47" s="276">
        <v>19030</v>
      </c>
      <c r="F47" s="262"/>
    </row>
    <row r="48" spans="1:6" ht="15" customHeight="1" x14ac:dyDescent="0.2">
      <c r="A48" s="435" t="s">
        <v>78</v>
      </c>
      <c r="B48" s="431" t="s">
        <v>79</v>
      </c>
      <c r="C48" s="380">
        <v>28</v>
      </c>
      <c r="D48" s="270">
        <v>1730</v>
      </c>
      <c r="E48" s="271">
        <v>48440</v>
      </c>
      <c r="F48" s="262"/>
    </row>
    <row r="49" spans="1:7" ht="15" customHeight="1" x14ac:dyDescent="0.2">
      <c r="A49" s="436" t="s">
        <v>80</v>
      </c>
      <c r="B49" s="432" t="s">
        <v>81</v>
      </c>
      <c r="C49" s="395">
        <v>0</v>
      </c>
      <c r="D49" s="277">
        <v>1000</v>
      </c>
      <c r="E49" s="278">
        <v>0</v>
      </c>
      <c r="F49" s="262"/>
      <c r="G49" s="255"/>
    </row>
    <row r="50" spans="1:7" ht="18" customHeight="1" x14ac:dyDescent="0.2">
      <c r="A50" s="279"/>
      <c r="B50" s="411" t="s">
        <v>82</v>
      </c>
      <c r="C50" s="279">
        <v>16886</v>
      </c>
      <c r="D50" s="280"/>
      <c r="E50" s="281">
        <v>120363550</v>
      </c>
      <c r="F50" s="262"/>
      <c r="G50" s="255"/>
    </row>
    <row r="51" spans="1:7" ht="18" customHeight="1" x14ac:dyDescent="0.2">
      <c r="A51" s="282"/>
      <c r="B51" s="282"/>
      <c r="C51" s="282"/>
      <c r="D51" s="283"/>
      <c r="E51" s="284"/>
      <c r="F51" s="262"/>
      <c r="G51" s="255"/>
    </row>
    <row r="52" spans="1:7" ht="12.75" x14ac:dyDescent="0.2">
      <c r="A52" s="262"/>
      <c r="B52" s="262"/>
      <c r="C52" s="262"/>
      <c r="D52" s="262"/>
      <c r="E52" s="262"/>
      <c r="F52" s="285"/>
      <c r="G52" s="286"/>
    </row>
    <row r="53" spans="1:7" ht="12.75" x14ac:dyDescent="0.2">
      <c r="A53" s="591" t="s">
        <v>83</v>
      </c>
      <c r="B53" s="592"/>
      <c r="C53" s="592"/>
      <c r="D53" s="592"/>
      <c r="E53" s="593"/>
      <c r="F53" s="285"/>
      <c r="G53" s="286"/>
    </row>
    <row r="54" spans="1:7" ht="42.75" customHeight="1" x14ac:dyDescent="0.2">
      <c r="A54" s="264" t="s">
        <v>8</v>
      </c>
      <c r="B54" s="264" t="s">
        <v>84</v>
      </c>
      <c r="C54" s="265" t="s">
        <v>10</v>
      </c>
      <c r="D54" s="311"/>
      <c r="E54" s="266" t="s">
        <v>12</v>
      </c>
      <c r="F54" s="262"/>
      <c r="G54" s="255"/>
    </row>
    <row r="55" spans="1:7" ht="18" customHeight="1" x14ac:dyDescent="0.2">
      <c r="A55" s="392" t="s">
        <v>85</v>
      </c>
      <c r="B55" s="474" t="s">
        <v>86</v>
      </c>
      <c r="C55" s="316">
        <v>63809</v>
      </c>
      <c r="D55" s="288"/>
      <c r="E55" s="289">
        <v>88897630</v>
      </c>
      <c r="F55" s="262"/>
      <c r="G55" s="255"/>
    </row>
    <row r="56" spans="1:7" ht="15" customHeight="1" x14ac:dyDescent="0.2">
      <c r="A56" s="472" t="s">
        <v>87</v>
      </c>
      <c r="B56" s="443" t="s">
        <v>88</v>
      </c>
      <c r="C56" s="426">
        <v>24110</v>
      </c>
      <c r="D56" s="290"/>
      <c r="E56" s="291">
        <v>26068950</v>
      </c>
      <c r="F56" s="262"/>
      <c r="G56" s="255"/>
    </row>
    <row r="57" spans="1:7" ht="15" customHeight="1" x14ac:dyDescent="0.2">
      <c r="A57" s="435" t="s">
        <v>89</v>
      </c>
      <c r="B57" s="430" t="s">
        <v>90</v>
      </c>
      <c r="C57" s="380">
        <v>28346</v>
      </c>
      <c r="D57" s="293"/>
      <c r="E57" s="294">
        <v>33390300</v>
      </c>
      <c r="F57" s="262"/>
      <c r="G57" s="255"/>
    </row>
    <row r="58" spans="1:7" ht="15" customHeight="1" x14ac:dyDescent="0.2">
      <c r="A58" s="435" t="s">
        <v>91</v>
      </c>
      <c r="B58" s="430" t="s">
        <v>92</v>
      </c>
      <c r="C58" s="380">
        <v>1363</v>
      </c>
      <c r="D58" s="293"/>
      <c r="E58" s="294">
        <v>4782810</v>
      </c>
      <c r="F58" s="262"/>
      <c r="G58" s="255"/>
    </row>
    <row r="59" spans="1:7" ht="15" customHeight="1" x14ac:dyDescent="0.2">
      <c r="A59" s="435" t="s">
        <v>93</v>
      </c>
      <c r="B59" s="430" t="s">
        <v>94</v>
      </c>
      <c r="C59" s="380">
        <v>0</v>
      </c>
      <c r="D59" s="293"/>
      <c r="E59" s="294">
        <v>0</v>
      </c>
      <c r="F59" s="262"/>
      <c r="G59" s="255"/>
    </row>
    <row r="60" spans="1:7" ht="15" customHeight="1" x14ac:dyDescent="0.2">
      <c r="A60" s="467" t="s">
        <v>95</v>
      </c>
      <c r="B60" s="450" t="s">
        <v>96</v>
      </c>
      <c r="C60" s="410">
        <v>1444</v>
      </c>
      <c r="D60" s="295"/>
      <c r="E60" s="296">
        <v>6793940</v>
      </c>
      <c r="F60" s="262"/>
      <c r="G60" s="255"/>
    </row>
    <row r="61" spans="1:7" ht="15" customHeight="1" x14ac:dyDescent="0.2">
      <c r="A61" s="434" t="s">
        <v>97</v>
      </c>
      <c r="B61" s="475" t="s">
        <v>98</v>
      </c>
      <c r="C61" s="412">
        <v>5296</v>
      </c>
      <c r="D61" s="297"/>
      <c r="E61" s="298">
        <v>13721630</v>
      </c>
      <c r="F61" s="262"/>
      <c r="G61" s="255"/>
    </row>
    <row r="62" spans="1:7" ht="15" customHeight="1" x14ac:dyDescent="0.2">
      <c r="A62" s="478"/>
      <c r="B62" s="451" t="s">
        <v>99</v>
      </c>
      <c r="C62" s="383">
        <v>4320</v>
      </c>
      <c r="D62" s="299"/>
      <c r="E62" s="300">
        <v>9859630</v>
      </c>
      <c r="F62" s="262"/>
      <c r="G62" s="255"/>
    </row>
    <row r="63" spans="1:7" ht="15" customHeight="1" x14ac:dyDescent="0.2">
      <c r="A63" s="478"/>
      <c r="B63" s="430" t="s">
        <v>100</v>
      </c>
      <c r="C63" s="380">
        <v>60</v>
      </c>
      <c r="D63" s="293"/>
      <c r="E63" s="294">
        <v>165510</v>
      </c>
      <c r="F63" s="262"/>
      <c r="G63" s="255"/>
    </row>
    <row r="64" spans="1:7" ht="15" customHeight="1" x14ac:dyDescent="0.2">
      <c r="A64" s="479"/>
      <c r="B64" s="432" t="s">
        <v>101</v>
      </c>
      <c r="C64" s="395">
        <v>916</v>
      </c>
      <c r="D64" s="301"/>
      <c r="E64" s="302">
        <v>3696490</v>
      </c>
      <c r="F64" s="262"/>
      <c r="G64" s="255"/>
    </row>
    <row r="65" spans="1:7" ht="15" customHeight="1" x14ac:dyDescent="0.2">
      <c r="A65" s="472" t="s">
        <v>102</v>
      </c>
      <c r="B65" s="471" t="s">
        <v>103</v>
      </c>
      <c r="C65" s="426">
        <v>0</v>
      </c>
      <c r="D65" s="290"/>
      <c r="E65" s="291">
        <v>0</v>
      </c>
      <c r="F65" s="262"/>
      <c r="G65" s="255"/>
    </row>
    <row r="66" spans="1:7" ht="15" customHeight="1" x14ac:dyDescent="0.2">
      <c r="A66" s="435" t="s">
        <v>104</v>
      </c>
      <c r="B66" s="430" t="s">
        <v>105</v>
      </c>
      <c r="C66" s="380">
        <v>95</v>
      </c>
      <c r="D66" s="293"/>
      <c r="E66" s="294">
        <v>180090</v>
      </c>
      <c r="F66" s="262"/>
      <c r="G66" s="255"/>
    </row>
    <row r="67" spans="1:7" ht="15" customHeight="1" x14ac:dyDescent="0.2">
      <c r="A67" s="467" t="s">
        <v>106</v>
      </c>
      <c r="B67" s="450" t="s">
        <v>107</v>
      </c>
      <c r="C67" s="410">
        <v>3155</v>
      </c>
      <c r="D67" s="295"/>
      <c r="E67" s="296">
        <v>3959910</v>
      </c>
      <c r="F67" s="262"/>
      <c r="G67" s="255"/>
    </row>
    <row r="68" spans="1:7" ht="15" customHeight="1" x14ac:dyDescent="0.2">
      <c r="A68" s="480" t="s">
        <v>108</v>
      </c>
      <c r="B68" s="470" t="s">
        <v>109</v>
      </c>
      <c r="C68" s="427">
        <v>5188</v>
      </c>
      <c r="D68" s="303"/>
      <c r="E68" s="304">
        <v>87765680</v>
      </c>
      <c r="F68" s="262"/>
      <c r="G68" s="255"/>
    </row>
    <row r="69" spans="1:7" ht="15" customHeight="1" x14ac:dyDescent="0.2">
      <c r="A69" s="435" t="s">
        <v>110</v>
      </c>
      <c r="B69" s="430" t="s">
        <v>111</v>
      </c>
      <c r="C69" s="380">
        <v>2650</v>
      </c>
      <c r="D69" s="293"/>
      <c r="E69" s="294">
        <v>21209600</v>
      </c>
      <c r="F69" s="262"/>
      <c r="G69" s="255"/>
    </row>
    <row r="70" spans="1:7" ht="15" customHeight="1" x14ac:dyDescent="0.2">
      <c r="A70" s="435" t="s">
        <v>112</v>
      </c>
      <c r="B70" s="430" t="s">
        <v>113</v>
      </c>
      <c r="C70" s="380">
        <v>11</v>
      </c>
      <c r="D70" s="293"/>
      <c r="E70" s="294">
        <v>237230</v>
      </c>
      <c r="F70" s="262"/>
      <c r="G70" s="255"/>
    </row>
    <row r="71" spans="1:7" ht="15" customHeight="1" x14ac:dyDescent="0.2">
      <c r="A71" s="435" t="s">
        <v>114</v>
      </c>
      <c r="B71" s="430" t="s">
        <v>115</v>
      </c>
      <c r="C71" s="380">
        <v>705</v>
      </c>
      <c r="D71" s="293"/>
      <c r="E71" s="294">
        <v>34859570</v>
      </c>
      <c r="F71" s="262"/>
      <c r="G71" s="255"/>
    </row>
    <row r="72" spans="1:7" ht="15" customHeight="1" x14ac:dyDescent="0.2">
      <c r="A72" s="435" t="s">
        <v>116</v>
      </c>
      <c r="B72" s="430" t="s">
        <v>117</v>
      </c>
      <c r="C72" s="380">
        <v>1594</v>
      </c>
      <c r="D72" s="293"/>
      <c r="E72" s="294">
        <v>30298760</v>
      </c>
      <c r="F72" s="262"/>
      <c r="G72" s="255"/>
    </row>
    <row r="73" spans="1:7" ht="15" customHeight="1" x14ac:dyDescent="0.2">
      <c r="A73" s="481"/>
      <c r="B73" s="430" t="s">
        <v>118</v>
      </c>
      <c r="C73" s="380">
        <v>228</v>
      </c>
      <c r="D73" s="293"/>
      <c r="E73" s="294">
        <v>1160520</v>
      </c>
      <c r="F73" s="262"/>
      <c r="G73" s="255"/>
    </row>
    <row r="74" spans="1:7" ht="15" customHeight="1" x14ac:dyDescent="0.2">
      <c r="A74" s="482" t="s">
        <v>119</v>
      </c>
      <c r="B74" s="476" t="s">
        <v>120</v>
      </c>
      <c r="C74" s="417">
        <v>0</v>
      </c>
      <c r="D74" s="389"/>
      <c r="E74" s="390">
        <v>0</v>
      </c>
      <c r="F74" s="262"/>
      <c r="G74" s="255"/>
    </row>
    <row r="75" spans="1:7" ht="15" customHeight="1" x14ac:dyDescent="0.2">
      <c r="A75" s="483" t="s">
        <v>121</v>
      </c>
      <c r="B75" s="477" t="s">
        <v>122</v>
      </c>
      <c r="C75" s="428">
        <v>0</v>
      </c>
      <c r="D75" s="305"/>
      <c r="E75" s="306">
        <v>0</v>
      </c>
      <c r="F75" s="262"/>
      <c r="G75" s="255"/>
    </row>
    <row r="76" spans="1:7" ht="15" customHeight="1" x14ac:dyDescent="0.2">
      <c r="A76" s="437"/>
      <c r="B76" s="433" t="s">
        <v>123</v>
      </c>
      <c r="C76" s="316">
        <v>68997</v>
      </c>
      <c r="D76" s="288"/>
      <c r="E76" s="308">
        <v>176663310</v>
      </c>
      <c r="F76" s="262"/>
      <c r="G76" s="255"/>
    </row>
    <row r="77" spans="1:7" ht="12.75" x14ac:dyDescent="0.2">
      <c r="A77" s="262"/>
      <c r="B77" s="262"/>
      <c r="C77" s="262"/>
      <c r="D77" s="262"/>
      <c r="E77" s="262"/>
      <c r="F77" s="285"/>
      <c r="G77" s="286"/>
    </row>
    <row r="78" spans="1:7" ht="12.75" x14ac:dyDescent="0.2">
      <c r="A78" s="262"/>
      <c r="B78" s="262"/>
      <c r="C78" s="262"/>
      <c r="D78" s="262"/>
      <c r="E78" s="262"/>
      <c r="F78" s="285"/>
      <c r="G78" s="286"/>
    </row>
    <row r="79" spans="1:7" ht="12.75" x14ac:dyDescent="0.2">
      <c r="A79" s="583" t="s">
        <v>124</v>
      </c>
      <c r="B79" s="584"/>
      <c r="C79" s="584"/>
      <c r="D79" s="584"/>
      <c r="E79" s="585"/>
      <c r="F79" s="285"/>
      <c r="G79" s="286"/>
    </row>
    <row r="80" spans="1:7" ht="45" customHeight="1" x14ac:dyDescent="0.2">
      <c r="A80" s="264" t="s">
        <v>8</v>
      </c>
      <c r="B80" s="391" t="s">
        <v>9</v>
      </c>
      <c r="C80" s="309" t="s">
        <v>10</v>
      </c>
      <c r="D80" s="311"/>
      <c r="E80" s="312" t="s">
        <v>12</v>
      </c>
      <c r="F80" s="285"/>
      <c r="G80" s="286"/>
    </row>
    <row r="81" spans="1:6" ht="15" customHeight="1" x14ac:dyDescent="0.2">
      <c r="A81" s="473" t="s">
        <v>125</v>
      </c>
      <c r="B81" s="443" t="s">
        <v>126</v>
      </c>
      <c r="C81" s="383">
        <v>0</v>
      </c>
      <c r="D81" s="290"/>
      <c r="E81" s="313">
        <v>0</v>
      </c>
      <c r="F81" s="262"/>
    </row>
    <row r="82" spans="1:6" ht="15" customHeight="1" x14ac:dyDescent="0.2">
      <c r="A82" s="457">
        <v>2001</v>
      </c>
      <c r="B82" s="430" t="s">
        <v>127</v>
      </c>
      <c r="C82" s="380">
        <v>908</v>
      </c>
      <c r="D82" s="293"/>
      <c r="E82" s="314">
        <v>8207020</v>
      </c>
      <c r="F82" s="262"/>
    </row>
    <row r="83" spans="1:6" ht="15" customHeight="1" x14ac:dyDescent="0.2">
      <c r="A83" s="467" t="s">
        <v>128</v>
      </c>
      <c r="B83" s="450" t="s">
        <v>129</v>
      </c>
      <c r="C83" s="410">
        <v>24</v>
      </c>
      <c r="D83" s="295"/>
      <c r="E83" s="315">
        <v>1511570</v>
      </c>
      <c r="F83" s="262"/>
    </row>
    <row r="84" spans="1:6" ht="17.25" customHeight="1" x14ac:dyDescent="0.2">
      <c r="A84" s="437"/>
      <c r="B84" s="433" t="s">
        <v>130</v>
      </c>
      <c r="C84" s="316">
        <v>932</v>
      </c>
      <c r="D84" s="288"/>
      <c r="E84" s="317">
        <v>9718590</v>
      </c>
      <c r="F84" s="262"/>
    </row>
    <row r="85" spans="1:6" ht="12.75" x14ac:dyDescent="0.2">
      <c r="A85" s="262"/>
      <c r="B85" s="262"/>
      <c r="C85" s="262"/>
      <c r="D85" s="262"/>
      <c r="E85" s="262"/>
      <c r="F85" s="262"/>
    </row>
    <row r="86" spans="1:6" ht="12.75" x14ac:dyDescent="0.2">
      <c r="A86" s="262"/>
      <c r="B86" s="262"/>
      <c r="C86" s="262"/>
      <c r="D86" s="262"/>
      <c r="E86" s="262"/>
      <c r="F86" s="259"/>
    </row>
    <row r="87" spans="1:6" ht="12.75" customHeight="1" x14ac:dyDescent="0.15">
      <c r="A87" s="597" t="s">
        <v>131</v>
      </c>
      <c r="B87" s="598"/>
      <c r="C87" s="598"/>
      <c r="D87" s="598"/>
      <c r="E87" s="598"/>
      <c r="F87" s="599"/>
    </row>
    <row r="88" spans="1:6" ht="33.75" customHeight="1" x14ac:dyDescent="0.15">
      <c r="A88" s="611" t="s">
        <v>8</v>
      </c>
      <c r="B88" s="611" t="s">
        <v>9</v>
      </c>
      <c r="C88" s="586" t="s">
        <v>10</v>
      </c>
      <c r="D88" s="587"/>
      <c r="E88" s="587"/>
      <c r="F88" s="588"/>
    </row>
    <row r="89" spans="1:6" ht="45" customHeight="1" x14ac:dyDescent="0.15">
      <c r="A89" s="612"/>
      <c r="B89" s="612"/>
      <c r="C89" s="391" t="s">
        <v>132</v>
      </c>
      <c r="D89" s="394" t="s">
        <v>133</v>
      </c>
      <c r="E89" s="310" t="s">
        <v>134</v>
      </c>
      <c r="F89" s="266" t="s">
        <v>12</v>
      </c>
    </row>
    <row r="90" spans="1:6" ht="15" customHeight="1" x14ac:dyDescent="0.2">
      <c r="A90" s="434" t="s">
        <v>135</v>
      </c>
      <c r="B90" s="429" t="s">
        <v>136</v>
      </c>
      <c r="C90" s="420">
        <v>0</v>
      </c>
      <c r="D90" s="318">
        <v>0</v>
      </c>
      <c r="E90" s="319">
        <v>0</v>
      </c>
      <c r="F90" s="320">
        <v>0</v>
      </c>
    </row>
    <row r="91" spans="1:6" ht="15" customHeight="1" x14ac:dyDescent="0.2">
      <c r="A91" s="435" t="s">
        <v>137</v>
      </c>
      <c r="B91" s="430" t="s">
        <v>138</v>
      </c>
      <c r="C91" s="421">
        <v>183</v>
      </c>
      <c r="D91" s="321">
        <v>0</v>
      </c>
      <c r="E91" s="322">
        <v>0</v>
      </c>
      <c r="F91" s="323">
        <v>35812970</v>
      </c>
    </row>
    <row r="92" spans="1:6" ht="15" customHeight="1" x14ac:dyDescent="0.2">
      <c r="A92" s="435" t="s">
        <v>139</v>
      </c>
      <c r="B92" s="430" t="s">
        <v>140</v>
      </c>
      <c r="C92" s="421">
        <v>16</v>
      </c>
      <c r="D92" s="321">
        <v>1</v>
      </c>
      <c r="E92" s="322">
        <v>0</v>
      </c>
      <c r="F92" s="323">
        <v>1617245</v>
      </c>
    </row>
    <row r="93" spans="1:6" ht="15" customHeight="1" x14ac:dyDescent="0.2">
      <c r="A93" s="435" t="s">
        <v>141</v>
      </c>
      <c r="B93" s="430" t="s">
        <v>142</v>
      </c>
      <c r="C93" s="421">
        <v>14</v>
      </c>
      <c r="D93" s="321">
        <v>0</v>
      </c>
      <c r="E93" s="322">
        <v>0</v>
      </c>
      <c r="F93" s="323">
        <v>581790</v>
      </c>
    </row>
    <row r="94" spans="1:6" ht="15" customHeight="1" x14ac:dyDescent="0.2">
      <c r="A94" s="435" t="s">
        <v>143</v>
      </c>
      <c r="B94" s="430" t="s">
        <v>144</v>
      </c>
      <c r="C94" s="421">
        <v>59</v>
      </c>
      <c r="D94" s="321">
        <v>5</v>
      </c>
      <c r="E94" s="322">
        <v>0</v>
      </c>
      <c r="F94" s="323">
        <v>3178890</v>
      </c>
    </row>
    <row r="95" spans="1:6" ht="15" customHeight="1" x14ac:dyDescent="0.2">
      <c r="A95" s="435" t="s">
        <v>145</v>
      </c>
      <c r="B95" s="430" t="s">
        <v>146</v>
      </c>
      <c r="C95" s="421">
        <v>130</v>
      </c>
      <c r="D95" s="321">
        <v>2</v>
      </c>
      <c r="E95" s="322">
        <v>0</v>
      </c>
      <c r="F95" s="323">
        <v>2842850</v>
      </c>
    </row>
    <row r="96" spans="1:6" ht="15" customHeight="1" x14ac:dyDescent="0.2">
      <c r="A96" s="435" t="s">
        <v>147</v>
      </c>
      <c r="B96" s="430" t="s">
        <v>148</v>
      </c>
      <c r="C96" s="421">
        <v>4</v>
      </c>
      <c r="D96" s="321">
        <v>1</v>
      </c>
      <c r="E96" s="322">
        <v>0</v>
      </c>
      <c r="F96" s="323">
        <v>746905</v>
      </c>
    </row>
    <row r="97" spans="1:6" ht="15" customHeight="1" x14ac:dyDescent="0.2">
      <c r="A97" s="435" t="s">
        <v>149</v>
      </c>
      <c r="B97" s="430" t="s">
        <v>150</v>
      </c>
      <c r="C97" s="421">
        <v>2</v>
      </c>
      <c r="D97" s="321">
        <v>0</v>
      </c>
      <c r="E97" s="322">
        <v>0</v>
      </c>
      <c r="F97" s="323">
        <v>105220</v>
      </c>
    </row>
    <row r="98" spans="1:6" ht="15" customHeight="1" x14ac:dyDescent="0.2">
      <c r="A98" s="435" t="s">
        <v>151</v>
      </c>
      <c r="B98" s="430" t="s">
        <v>152</v>
      </c>
      <c r="C98" s="421">
        <v>152</v>
      </c>
      <c r="D98" s="321">
        <v>25</v>
      </c>
      <c r="E98" s="322">
        <v>0</v>
      </c>
      <c r="F98" s="323">
        <v>39112295</v>
      </c>
    </row>
    <row r="99" spans="1:6" ht="15" customHeight="1" x14ac:dyDescent="0.2">
      <c r="A99" s="435" t="s">
        <v>153</v>
      </c>
      <c r="B99" s="430" t="s">
        <v>154</v>
      </c>
      <c r="C99" s="421">
        <v>14</v>
      </c>
      <c r="D99" s="321">
        <v>0</v>
      </c>
      <c r="E99" s="322">
        <v>0</v>
      </c>
      <c r="F99" s="323">
        <v>1549320</v>
      </c>
    </row>
    <row r="100" spans="1:6" ht="15" customHeight="1" x14ac:dyDescent="0.2">
      <c r="A100" s="435" t="s">
        <v>155</v>
      </c>
      <c r="B100" s="430" t="s">
        <v>156</v>
      </c>
      <c r="C100" s="421">
        <v>28</v>
      </c>
      <c r="D100" s="321">
        <v>2</v>
      </c>
      <c r="E100" s="322">
        <v>0</v>
      </c>
      <c r="F100" s="323">
        <v>4941045</v>
      </c>
    </row>
    <row r="101" spans="1:6" ht="15" customHeight="1" x14ac:dyDescent="0.2">
      <c r="A101" s="435" t="s">
        <v>157</v>
      </c>
      <c r="B101" s="430" t="s">
        <v>158</v>
      </c>
      <c r="C101" s="421">
        <v>7</v>
      </c>
      <c r="D101" s="321">
        <v>1</v>
      </c>
      <c r="E101" s="322">
        <v>0</v>
      </c>
      <c r="F101" s="323">
        <v>1483200</v>
      </c>
    </row>
    <row r="102" spans="1:6" ht="15" customHeight="1" x14ac:dyDescent="0.2">
      <c r="A102" s="467" t="s">
        <v>159</v>
      </c>
      <c r="B102" s="450" t="s">
        <v>160</v>
      </c>
      <c r="C102" s="422">
        <v>41</v>
      </c>
      <c r="D102" s="324">
        <v>6</v>
      </c>
      <c r="E102" s="325">
        <v>0</v>
      </c>
      <c r="F102" s="326">
        <v>8565815</v>
      </c>
    </row>
    <row r="103" spans="1:6" ht="15" customHeight="1" x14ac:dyDescent="0.2">
      <c r="A103" s="434" t="s">
        <v>161</v>
      </c>
      <c r="B103" s="429" t="s">
        <v>162</v>
      </c>
      <c r="C103" s="420">
        <v>58</v>
      </c>
      <c r="D103" s="318">
        <v>0</v>
      </c>
      <c r="E103" s="319">
        <v>0</v>
      </c>
      <c r="F103" s="320">
        <v>6822050</v>
      </c>
    </row>
    <row r="104" spans="1:6" ht="15" customHeight="1" x14ac:dyDescent="0.2">
      <c r="A104" s="435"/>
      <c r="B104" s="430" t="s">
        <v>163</v>
      </c>
      <c r="C104" s="421">
        <v>0</v>
      </c>
      <c r="D104" s="321">
        <v>0</v>
      </c>
      <c r="E104" s="322">
        <v>0</v>
      </c>
      <c r="F104" s="323">
        <v>0</v>
      </c>
    </row>
    <row r="105" spans="1:6" ht="15" customHeight="1" x14ac:dyDescent="0.2">
      <c r="A105" s="435"/>
      <c r="B105" s="430" t="s">
        <v>164</v>
      </c>
      <c r="C105" s="421">
        <v>37</v>
      </c>
      <c r="D105" s="321">
        <v>0</v>
      </c>
      <c r="E105" s="322">
        <v>0</v>
      </c>
      <c r="F105" s="323">
        <v>4771150</v>
      </c>
    </row>
    <row r="106" spans="1:6" ht="15" customHeight="1" x14ac:dyDescent="0.2">
      <c r="A106" s="436"/>
      <c r="B106" s="444" t="s">
        <v>165</v>
      </c>
      <c r="C106" s="423">
        <v>21</v>
      </c>
      <c r="D106" s="328">
        <v>0</v>
      </c>
      <c r="E106" s="329">
        <v>0</v>
      </c>
      <c r="F106" s="330">
        <v>2050900</v>
      </c>
    </row>
    <row r="107" spans="1:6" ht="15" customHeight="1" x14ac:dyDescent="0.2">
      <c r="A107" s="472" t="s">
        <v>166</v>
      </c>
      <c r="B107" s="471" t="s">
        <v>167</v>
      </c>
      <c r="C107" s="424">
        <v>47</v>
      </c>
      <c r="D107" s="331">
        <v>3</v>
      </c>
      <c r="E107" s="332">
        <v>0</v>
      </c>
      <c r="F107" s="333">
        <v>8815040</v>
      </c>
    </row>
    <row r="108" spans="1:6" ht="15" customHeight="1" x14ac:dyDescent="0.2">
      <c r="A108" s="468">
        <v>2106</v>
      </c>
      <c r="B108" s="444" t="s">
        <v>168</v>
      </c>
      <c r="C108" s="423">
        <v>5</v>
      </c>
      <c r="D108" s="328">
        <v>0</v>
      </c>
      <c r="E108" s="329">
        <v>0</v>
      </c>
      <c r="F108" s="330">
        <v>269650</v>
      </c>
    </row>
    <row r="109" spans="1:6" ht="15" customHeight="1" x14ac:dyDescent="0.2">
      <c r="A109" s="442"/>
      <c r="B109" s="441" t="s">
        <v>169</v>
      </c>
      <c r="C109" s="425">
        <v>760</v>
      </c>
      <c r="D109" s="335">
        <v>46</v>
      </c>
      <c r="E109" s="336">
        <v>0</v>
      </c>
      <c r="F109" s="337">
        <v>116444285</v>
      </c>
    </row>
    <row r="110" spans="1:6" ht="12.75" x14ac:dyDescent="0.2">
      <c r="A110" s="262"/>
      <c r="B110" s="262"/>
      <c r="C110" s="262"/>
      <c r="D110" s="262"/>
      <c r="E110" s="262"/>
      <c r="F110" s="259"/>
    </row>
    <row r="111" spans="1:6" ht="12.75" x14ac:dyDescent="0.2">
      <c r="A111" s="262"/>
      <c r="B111" s="262"/>
      <c r="C111" s="262"/>
      <c r="D111" s="262"/>
      <c r="E111" s="262"/>
      <c r="F111" s="259"/>
    </row>
    <row r="112" spans="1:6" ht="12.75" x14ac:dyDescent="0.2">
      <c r="A112" s="583" t="s">
        <v>170</v>
      </c>
      <c r="B112" s="584"/>
      <c r="C112" s="584"/>
      <c r="D112" s="584"/>
      <c r="E112" s="585"/>
      <c r="F112" s="259"/>
    </row>
    <row r="113" spans="1:6" ht="49.5" customHeight="1" x14ac:dyDescent="0.2">
      <c r="A113" s="264" t="s">
        <v>8</v>
      </c>
      <c r="B113" s="264" t="s">
        <v>9</v>
      </c>
      <c r="C113" s="265" t="s">
        <v>10</v>
      </c>
      <c r="D113" s="310" t="s">
        <v>11</v>
      </c>
      <c r="E113" s="266" t="s">
        <v>12</v>
      </c>
      <c r="F113" s="259"/>
    </row>
    <row r="114" spans="1:6" ht="15" customHeight="1" x14ac:dyDescent="0.2">
      <c r="A114" s="434" t="s">
        <v>171</v>
      </c>
      <c r="B114" s="429" t="s">
        <v>172</v>
      </c>
      <c r="C114" s="383">
        <v>101</v>
      </c>
      <c r="D114" s="338">
        <v>128940</v>
      </c>
      <c r="E114" s="339">
        <v>13022940</v>
      </c>
      <c r="F114" s="262"/>
    </row>
    <row r="115" spans="1:6" ht="15" customHeight="1" x14ac:dyDescent="0.2">
      <c r="A115" s="436" t="s">
        <v>173</v>
      </c>
      <c r="B115" s="465" t="s">
        <v>174</v>
      </c>
      <c r="C115" s="410">
        <v>4</v>
      </c>
      <c r="D115" s="340">
        <v>135670</v>
      </c>
      <c r="E115" s="315">
        <v>542680</v>
      </c>
      <c r="F115" s="262"/>
    </row>
    <row r="116" spans="1:6" ht="15" customHeight="1" x14ac:dyDescent="0.2">
      <c r="A116" s="316"/>
      <c r="B116" s="393" t="s">
        <v>175</v>
      </c>
      <c r="C116" s="316">
        <v>105</v>
      </c>
      <c r="D116" s="288"/>
      <c r="E116" s="317">
        <v>13565620</v>
      </c>
      <c r="F116" s="262"/>
    </row>
    <row r="117" spans="1:6" ht="12.75" x14ac:dyDescent="0.2">
      <c r="A117" s="262"/>
      <c r="B117" s="262"/>
      <c r="C117" s="262"/>
      <c r="D117" s="262"/>
      <c r="E117" s="262"/>
      <c r="F117" s="262"/>
    </row>
    <row r="118" spans="1:6" ht="12.75" x14ac:dyDescent="0.2">
      <c r="A118" s="262"/>
      <c r="B118" s="262"/>
      <c r="C118" s="262"/>
      <c r="D118" s="262"/>
      <c r="E118" s="262"/>
      <c r="F118" s="259"/>
    </row>
    <row r="119" spans="1:6" ht="12.75" x14ac:dyDescent="0.2">
      <c r="A119" s="608" t="s">
        <v>176</v>
      </c>
      <c r="B119" s="608"/>
      <c r="C119" s="608"/>
      <c r="D119" s="262"/>
      <c r="E119" s="262"/>
      <c r="F119" s="259"/>
    </row>
    <row r="120" spans="1:6" ht="38.25" customHeight="1" x14ac:dyDescent="0.2">
      <c r="A120" s="264" t="s">
        <v>8</v>
      </c>
      <c r="B120" s="264" t="s">
        <v>10</v>
      </c>
      <c r="C120" s="264" t="s">
        <v>12</v>
      </c>
      <c r="D120" s="262"/>
      <c r="E120" s="262"/>
      <c r="F120" s="262"/>
    </row>
    <row r="121" spans="1:6" ht="15" customHeight="1" x14ac:dyDescent="0.2">
      <c r="A121" s="341" t="s">
        <v>177</v>
      </c>
      <c r="B121" s="342" t="s">
        <v>178</v>
      </c>
      <c r="C121" s="343">
        <v>15754330</v>
      </c>
      <c r="D121" s="262"/>
      <c r="E121" s="262"/>
      <c r="F121" s="262"/>
    </row>
    <row r="122" spans="1:6" ht="12.75" x14ac:dyDescent="0.2">
      <c r="A122" s="262"/>
      <c r="B122" s="262"/>
      <c r="C122" s="262"/>
      <c r="D122" s="262"/>
      <c r="E122" s="259"/>
      <c r="F122" s="262"/>
    </row>
    <row r="123" spans="1:6" ht="12.75" x14ac:dyDescent="0.2">
      <c r="A123" s="262"/>
      <c r="B123" s="262"/>
      <c r="C123" s="262"/>
      <c r="D123" s="262"/>
      <c r="E123" s="259"/>
      <c r="F123" s="262"/>
    </row>
    <row r="124" spans="1:6" ht="12.75" x14ac:dyDescent="0.2">
      <c r="A124" s="583" t="s">
        <v>179</v>
      </c>
      <c r="B124" s="584"/>
      <c r="C124" s="584"/>
      <c r="D124" s="584"/>
      <c r="E124" s="585"/>
      <c r="F124" s="259"/>
    </row>
    <row r="125" spans="1:6" ht="45.75" customHeight="1" x14ac:dyDescent="0.2">
      <c r="A125" s="264" t="s">
        <v>8</v>
      </c>
      <c r="B125" s="264" t="s">
        <v>9</v>
      </c>
      <c r="C125" s="265" t="s">
        <v>10</v>
      </c>
      <c r="D125" s="310" t="s">
        <v>11</v>
      </c>
      <c r="E125" s="266" t="s">
        <v>12</v>
      </c>
      <c r="F125" s="259"/>
    </row>
    <row r="126" spans="1:6" ht="15" customHeight="1" x14ac:dyDescent="0.2">
      <c r="A126" s="434" t="s">
        <v>180</v>
      </c>
      <c r="B126" s="451" t="s">
        <v>181</v>
      </c>
      <c r="C126" s="383">
        <v>5216</v>
      </c>
      <c r="D126" s="275">
        <v>33020</v>
      </c>
      <c r="E126" s="344">
        <v>172232320</v>
      </c>
      <c r="F126" s="262"/>
    </row>
    <row r="127" spans="1:6" ht="15" customHeight="1" x14ac:dyDescent="0.2">
      <c r="A127" s="435" t="s">
        <v>182</v>
      </c>
      <c r="B127" s="431" t="s">
        <v>183</v>
      </c>
      <c r="C127" s="380">
        <v>0</v>
      </c>
      <c r="D127" s="270">
        <v>30400</v>
      </c>
      <c r="E127" s="345">
        <v>0</v>
      </c>
      <c r="F127" s="262"/>
    </row>
    <row r="128" spans="1:6" ht="15" customHeight="1" x14ac:dyDescent="0.2">
      <c r="A128" s="435" t="s">
        <v>184</v>
      </c>
      <c r="B128" s="431" t="s">
        <v>185</v>
      </c>
      <c r="C128" s="380">
        <v>0</v>
      </c>
      <c r="D128" s="270">
        <v>25340</v>
      </c>
      <c r="E128" s="345">
        <v>0</v>
      </c>
      <c r="F128" s="262"/>
    </row>
    <row r="129" spans="1:6" ht="15" customHeight="1" x14ac:dyDescent="0.2">
      <c r="A129" s="435" t="s">
        <v>186</v>
      </c>
      <c r="B129" s="431" t="s">
        <v>187</v>
      </c>
      <c r="C129" s="380">
        <v>158</v>
      </c>
      <c r="D129" s="270">
        <v>137290</v>
      </c>
      <c r="E129" s="345">
        <v>21691820</v>
      </c>
      <c r="F129" s="262"/>
    </row>
    <row r="130" spans="1:6" ht="15" customHeight="1" x14ac:dyDescent="0.2">
      <c r="A130" s="435" t="s">
        <v>188</v>
      </c>
      <c r="B130" s="431" t="s">
        <v>189</v>
      </c>
      <c r="C130" s="380">
        <v>331</v>
      </c>
      <c r="D130" s="270">
        <v>66300</v>
      </c>
      <c r="E130" s="345">
        <v>21945300</v>
      </c>
      <c r="F130" s="262"/>
    </row>
    <row r="131" spans="1:6" ht="15" customHeight="1" x14ac:dyDescent="0.2">
      <c r="A131" s="435" t="s">
        <v>190</v>
      </c>
      <c r="B131" s="431" t="s">
        <v>191</v>
      </c>
      <c r="C131" s="380">
        <v>195</v>
      </c>
      <c r="D131" s="270">
        <v>59490</v>
      </c>
      <c r="E131" s="345">
        <v>11600550</v>
      </c>
      <c r="F131" s="262"/>
    </row>
    <row r="132" spans="1:6" ht="15" customHeight="1" x14ac:dyDescent="0.2">
      <c r="A132" s="435" t="s">
        <v>192</v>
      </c>
      <c r="B132" s="431" t="s">
        <v>193</v>
      </c>
      <c r="C132" s="380">
        <v>0</v>
      </c>
      <c r="D132" s="270">
        <v>16880</v>
      </c>
      <c r="E132" s="345">
        <v>0</v>
      </c>
      <c r="F132" s="262"/>
    </row>
    <row r="133" spans="1:6" ht="15" customHeight="1" x14ac:dyDescent="0.2">
      <c r="A133" s="435" t="s">
        <v>194</v>
      </c>
      <c r="B133" s="431" t="s">
        <v>195</v>
      </c>
      <c r="C133" s="380">
        <v>0</v>
      </c>
      <c r="D133" s="270">
        <v>26450</v>
      </c>
      <c r="E133" s="345">
        <v>0</v>
      </c>
      <c r="F133" s="262"/>
    </row>
    <row r="134" spans="1:6" ht="15" customHeight="1" x14ac:dyDescent="0.2">
      <c r="A134" s="435" t="s">
        <v>196</v>
      </c>
      <c r="B134" s="431" t="s">
        <v>197</v>
      </c>
      <c r="C134" s="380">
        <v>0</v>
      </c>
      <c r="D134" s="270">
        <v>26670</v>
      </c>
      <c r="E134" s="345">
        <v>0</v>
      </c>
      <c r="F134" s="262"/>
    </row>
    <row r="135" spans="1:6" ht="15" customHeight="1" x14ac:dyDescent="0.2">
      <c r="A135" s="435" t="s">
        <v>198</v>
      </c>
      <c r="B135" s="431" t="s">
        <v>199</v>
      </c>
      <c r="C135" s="380">
        <v>0</v>
      </c>
      <c r="D135" s="270">
        <v>27530</v>
      </c>
      <c r="E135" s="345">
        <v>0</v>
      </c>
      <c r="F135" s="262"/>
    </row>
    <row r="136" spans="1:6" ht="15" customHeight="1" x14ac:dyDescent="0.2">
      <c r="A136" s="435" t="s">
        <v>200</v>
      </c>
      <c r="B136" s="431" t="s">
        <v>201</v>
      </c>
      <c r="C136" s="380">
        <v>0</v>
      </c>
      <c r="D136" s="270">
        <v>33020</v>
      </c>
      <c r="E136" s="345">
        <v>0</v>
      </c>
      <c r="F136" s="262"/>
    </row>
    <row r="137" spans="1:6" ht="15" customHeight="1" x14ac:dyDescent="0.2">
      <c r="A137" s="435" t="s">
        <v>202</v>
      </c>
      <c r="B137" s="430" t="s">
        <v>203</v>
      </c>
      <c r="C137" s="380">
        <v>30</v>
      </c>
      <c r="D137" s="270">
        <v>6410</v>
      </c>
      <c r="E137" s="345">
        <v>192300</v>
      </c>
      <c r="F137" s="262"/>
    </row>
    <row r="138" spans="1:6" ht="15" customHeight="1" x14ac:dyDescent="0.2">
      <c r="A138" s="435" t="s">
        <v>204</v>
      </c>
      <c r="B138" s="430" t="s">
        <v>205</v>
      </c>
      <c r="C138" s="380">
        <v>0</v>
      </c>
      <c r="D138" s="270">
        <v>46280</v>
      </c>
      <c r="E138" s="345">
        <v>0</v>
      </c>
      <c r="F138" s="262"/>
    </row>
    <row r="139" spans="1:6" ht="15" customHeight="1" x14ac:dyDescent="0.2">
      <c r="A139" s="436"/>
      <c r="B139" s="469" t="s">
        <v>206</v>
      </c>
      <c r="C139" s="419">
        <v>5930</v>
      </c>
      <c r="D139" s="346"/>
      <c r="E139" s="347">
        <v>227662290</v>
      </c>
      <c r="F139" s="262"/>
    </row>
    <row r="140" spans="1:6" ht="15" customHeight="1" x14ac:dyDescent="0.2">
      <c r="A140" s="434"/>
      <c r="B140" s="470" t="s">
        <v>207</v>
      </c>
      <c r="C140" s="383"/>
      <c r="D140" s="275"/>
      <c r="E140" s="344"/>
      <c r="F140" s="262"/>
    </row>
    <row r="141" spans="1:6" ht="15" customHeight="1" x14ac:dyDescent="0.2">
      <c r="A141" s="435" t="s">
        <v>208</v>
      </c>
      <c r="B141" s="431" t="s">
        <v>209</v>
      </c>
      <c r="C141" s="380">
        <v>0</v>
      </c>
      <c r="D141" s="270">
        <v>11100</v>
      </c>
      <c r="E141" s="345">
        <v>0</v>
      </c>
      <c r="F141" s="262"/>
    </row>
    <row r="142" spans="1:6" ht="15" customHeight="1" x14ac:dyDescent="0.2">
      <c r="A142" s="435" t="s">
        <v>210</v>
      </c>
      <c r="B142" s="431" t="s">
        <v>211</v>
      </c>
      <c r="C142" s="380">
        <v>0</v>
      </c>
      <c r="D142" s="270">
        <v>11100</v>
      </c>
      <c r="E142" s="345">
        <v>0</v>
      </c>
      <c r="F142" s="262"/>
    </row>
    <row r="143" spans="1:6" ht="15" customHeight="1" x14ac:dyDescent="0.2">
      <c r="A143" s="435" t="s">
        <v>212</v>
      </c>
      <c r="B143" s="431" t="s">
        <v>213</v>
      </c>
      <c r="C143" s="380">
        <v>0</v>
      </c>
      <c r="D143" s="270">
        <v>4890</v>
      </c>
      <c r="E143" s="345">
        <v>0</v>
      </c>
      <c r="F143" s="262"/>
    </row>
    <row r="144" spans="1:6" ht="15" customHeight="1" x14ac:dyDescent="0.2">
      <c r="A144" s="435" t="s">
        <v>214</v>
      </c>
      <c r="B144" s="431" t="s">
        <v>215</v>
      </c>
      <c r="C144" s="380">
        <v>0</v>
      </c>
      <c r="D144" s="270">
        <v>89270</v>
      </c>
      <c r="E144" s="345">
        <v>0</v>
      </c>
      <c r="F144" s="262"/>
    </row>
    <row r="145" spans="1:6" ht="15" customHeight="1" x14ac:dyDescent="0.2">
      <c r="A145" s="435" t="s">
        <v>216</v>
      </c>
      <c r="B145" s="431" t="s">
        <v>217</v>
      </c>
      <c r="C145" s="380">
        <v>0</v>
      </c>
      <c r="D145" s="270">
        <v>10540</v>
      </c>
      <c r="E145" s="345">
        <v>0</v>
      </c>
      <c r="F145" s="262"/>
    </row>
    <row r="146" spans="1:6" ht="15" customHeight="1" x14ac:dyDescent="0.2">
      <c r="A146" s="435" t="s">
        <v>218</v>
      </c>
      <c r="B146" s="431" t="s">
        <v>219</v>
      </c>
      <c r="C146" s="380">
        <v>0</v>
      </c>
      <c r="D146" s="270">
        <v>8120</v>
      </c>
      <c r="E146" s="345">
        <v>0</v>
      </c>
      <c r="F146" s="262"/>
    </row>
    <row r="147" spans="1:6" ht="15" customHeight="1" x14ac:dyDescent="0.2">
      <c r="A147" s="436"/>
      <c r="B147" s="469" t="s">
        <v>220</v>
      </c>
      <c r="C147" s="419">
        <v>0</v>
      </c>
      <c r="D147" s="346"/>
      <c r="E147" s="347">
        <v>0</v>
      </c>
      <c r="F147" s="262"/>
    </row>
    <row r="148" spans="1:6" ht="15" customHeight="1" x14ac:dyDescent="0.2">
      <c r="A148" s="442"/>
      <c r="B148" s="441" t="s">
        <v>221</v>
      </c>
      <c r="C148" s="279">
        <v>5930</v>
      </c>
      <c r="D148" s="348"/>
      <c r="E148" s="349">
        <v>227662290</v>
      </c>
      <c r="F148" s="262"/>
    </row>
    <row r="149" spans="1:6" ht="12.75" x14ac:dyDescent="0.2">
      <c r="A149" s="262"/>
      <c r="B149" s="262"/>
      <c r="C149" s="262"/>
      <c r="D149" s="262"/>
      <c r="E149" s="262"/>
      <c r="F149" s="262"/>
    </row>
    <row r="150" spans="1:6" ht="12.75" x14ac:dyDescent="0.2">
      <c r="A150" s="262"/>
      <c r="B150" s="262"/>
      <c r="C150" s="262"/>
      <c r="D150" s="262"/>
      <c r="E150" s="262"/>
      <c r="F150" s="259"/>
    </row>
    <row r="151" spans="1:6" ht="12.75" customHeight="1" x14ac:dyDescent="0.2">
      <c r="A151" s="597" t="s">
        <v>222</v>
      </c>
      <c r="B151" s="598"/>
      <c r="C151" s="598"/>
      <c r="D151" s="598"/>
      <c r="E151" s="599"/>
      <c r="F151" s="259"/>
    </row>
    <row r="152" spans="1:6" ht="47.25" customHeight="1" x14ac:dyDescent="0.2">
      <c r="A152" s="264" t="s">
        <v>8</v>
      </c>
      <c r="B152" s="264" t="s">
        <v>9</v>
      </c>
      <c r="C152" s="265" t="s">
        <v>10</v>
      </c>
      <c r="D152" s="310" t="s">
        <v>11</v>
      </c>
      <c r="E152" s="266" t="s">
        <v>12</v>
      </c>
      <c r="F152" s="262"/>
    </row>
    <row r="153" spans="1:6" ht="15" customHeight="1" x14ac:dyDescent="0.2">
      <c r="A153" s="434" t="s">
        <v>223</v>
      </c>
      <c r="B153" s="451" t="s">
        <v>224</v>
      </c>
      <c r="C153" s="383">
        <v>328</v>
      </c>
      <c r="D153" s="275">
        <v>760</v>
      </c>
      <c r="E153" s="344">
        <v>249280</v>
      </c>
      <c r="F153" s="262"/>
    </row>
    <row r="154" spans="1:6" ht="15" customHeight="1" x14ac:dyDescent="0.2">
      <c r="A154" s="436" t="s">
        <v>225</v>
      </c>
      <c r="B154" s="432" t="s">
        <v>226</v>
      </c>
      <c r="C154" s="395">
        <v>0</v>
      </c>
      <c r="D154" s="277">
        <v>100</v>
      </c>
      <c r="E154" s="350">
        <v>0</v>
      </c>
      <c r="F154" s="262"/>
    </row>
    <row r="155" spans="1:6" ht="15" customHeight="1" x14ac:dyDescent="0.2">
      <c r="A155" s="442"/>
      <c r="B155" s="441" t="s">
        <v>227</v>
      </c>
      <c r="C155" s="279">
        <v>328</v>
      </c>
      <c r="D155" s="348"/>
      <c r="E155" s="349">
        <v>249280</v>
      </c>
      <c r="F155" s="262"/>
    </row>
    <row r="156" spans="1:6" ht="12.75" x14ac:dyDescent="0.2">
      <c r="A156" s="262"/>
      <c r="B156" s="262"/>
      <c r="C156" s="262"/>
      <c r="D156" s="262"/>
      <c r="E156" s="262"/>
      <c r="F156" s="262"/>
    </row>
    <row r="157" spans="1:6" ht="12.75" x14ac:dyDescent="0.2">
      <c r="A157" s="262"/>
      <c r="B157" s="262"/>
      <c r="C157" s="262"/>
      <c r="D157" s="262"/>
      <c r="E157" s="262"/>
      <c r="F157" s="262"/>
    </row>
    <row r="158" spans="1:6" ht="18" customHeight="1" x14ac:dyDescent="0.2">
      <c r="A158" s="597" t="s">
        <v>228</v>
      </c>
      <c r="B158" s="598"/>
      <c r="C158" s="598"/>
      <c r="D158" s="598"/>
      <c r="E158" s="599"/>
      <c r="F158" s="259"/>
    </row>
    <row r="159" spans="1:6" ht="47.25" customHeight="1" x14ac:dyDescent="0.2">
      <c r="A159" s="264" t="s">
        <v>8</v>
      </c>
      <c r="B159" s="264" t="s">
        <v>9</v>
      </c>
      <c r="C159" s="265" t="s">
        <v>10</v>
      </c>
      <c r="D159" s="310" t="s">
        <v>11</v>
      </c>
      <c r="E159" s="266" t="s">
        <v>12</v>
      </c>
      <c r="F159" s="262"/>
    </row>
    <row r="160" spans="1:6" ht="15" customHeight="1" x14ac:dyDescent="0.2">
      <c r="A160" s="434" t="s">
        <v>229</v>
      </c>
      <c r="B160" s="429" t="s">
        <v>230</v>
      </c>
      <c r="C160" s="414">
        <v>0</v>
      </c>
      <c r="D160" s="275">
        <v>41580</v>
      </c>
      <c r="E160" s="344">
        <v>0</v>
      </c>
      <c r="F160" s="262"/>
    </row>
    <row r="161" spans="1:6" ht="15" customHeight="1" x14ac:dyDescent="0.2">
      <c r="A161" s="435" t="s">
        <v>231</v>
      </c>
      <c r="B161" s="431" t="s">
        <v>232</v>
      </c>
      <c r="C161" s="418">
        <v>0</v>
      </c>
      <c r="D161" s="270">
        <v>26150</v>
      </c>
      <c r="E161" s="345">
        <v>0</v>
      </c>
      <c r="F161" s="262"/>
    </row>
    <row r="162" spans="1:6" ht="15" customHeight="1" x14ac:dyDescent="0.2">
      <c r="A162" s="435" t="s">
        <v>233</v>
      </c>
      <c r="B162" s="430" t="s">
        <v>234</v>
      </c>
      <c r="C162" s="418">
        <v>0</v>
      </c>
      <c r="D162" s="270">
        <v>26930</v>
      </c>
      <c r="E162" s="345">
        <v>0</v>
      </c>
      <c r="F162" s="262"/>
    </row>
    <row r="163" spans="1:6" ht="15" customHeight="1" x14ac:dyDescent="0.2">
      <c r="A163" s="435" t="s">
        <v>235</v>
      </c>
      <c r="B163" s="431" t="s">
        <v>236</v>
      </c>
      <c r="C163" s="418">
        <v>0</v>
      </c>
      <c r="D163" s="270">
        <v>808040</v>
      </c>
      <c r="E163" s="345">
        <v>0</v>
      </c>
      <c r="F163" s="262"/>
    </row>
    <row r="164" spans="1:6" ht="15" customHeight="1" x14ac:dyDescent="0.2">
      <c r="A164" s="435" t="s">
        <v>237</v>
      </c>
      <c r="B164" s="431" t="s">
        <v>238</v>
      </c>
      <c r="C164" s="418">
        <v>0</v>
      </c>
      <c r="D164" s="270">
        <v>367020</v>
      </c>
      <c r="E164" s="345">
        <v>0</v>
      </c>
      <c r="F164" s="262"/>
    </row>
    <row r="165" spans="1:6" ht="15" customHeight="1" x14ac:dyDescent="0.2">
      <c r="A165" s="435" t="s">
        <v>239</v>
      </c>
      <c r="B165" s="431" t="s">
        <v>240</v>
      </c>
      <c r="C165" s="418">
        <v>0</v>
      </c>
      <c r="D165" s="270">
        <v>561210</v>
      </c>
      <c r="E165" s="345">
        <v>0</v>
      </c>
      <c r="F165" s="262"/>
    </row>
    <row r="166" spans="1:6" ht="15" customHeight="1" x14ac:dyDescent="0.2">
      <c r="A166" s="467" t="s">
        <v>241</v>
      </c>
      <c r="B166" s="465" t="s">
        <v>242</v>
      </c>
      <c r="C166" s="418">
        <v>0</v>
      </c>
      <c r="D166" s="270">
        <v>50600</v>
      </c>
      <c r="E166" s="345">
        <v>0</v>
      </c>
      <c r="F166" s="262"/>
    </row>
    <row r="167" spans="1:6" ht="15" customHeight="1" x14ac:dyDescent="0.2">
      <c r="A167" s="468">
        <v>1901029</v>
      </c>
      <c r="B167" s="466" t="s">
        <v>243</v>
      </c>
      <c r="C167" s="415">
        <v>0</v>
      </c>
      <c r="D167" s="277">
        <v>657830</v>
      </c>
      <c r="E167" s="350">
        <v>0</v>
      </c>
      <c r="F167" s="262"/>
    </row>
    <row r="168" spans="1:6" ht="15" customHeight="1" x14ac:dyDescent="0.2">
      <c r="A168" s="334"/>
      <c r="B168" s="351" t="s">
        <v>244</v>
      </c>
      <c r="C168" s="352">
        <v>0</v>
      </c>
      <c r="D168" s="353"/>
      <c r="E168" s="354">
        <v>0</v>
      </c>
      <c r="F168" s="262"/>
    </row>
    <row r="169" spans="1:6" ht="12.75" x14ac:dyDescent="0.2">
      <c r="A169" s="262"/>
      <c r="B169" s="262"/>
      <c r="C169" s="262"/>
      <c r="D169" s="262"/>
      <c r="E169" s="262"/>
      <c r="F169" s="262"/>
    </row>
    <row r="170" spans="1:6" ht="18" customHeight="1" x14ac:dyDescent="0.2">
      <c r="A170" s="262"/>
      <c r="B170" s="262"/>
      <c r="C170" s="262"/>
      <c r="D170" s="262"/>
      <c r="E170" s="262"/>
      <c r="F170" s="262"/>
    </row>
    <row r="171" spans="1:6" ht="18" customHeight="1" x14ac:dyDescent="0.2">
      <c r="A171" s="583" t="s">
        <v>245</v>
      </c>
      <c r="B171" s="584"/>
      <c r="C171" s="584"/>
      <c r="D171" s="584"/>
      <c r="E171" s="585"/>
      <c r="F171" s="259"/>
    </row>
    <row r="172" spans="1:6" ht="46.5" customHeight="1" x14ac:dyDescent="0.2">
      <c r="A172" s="264" t="s">
        <v>8</v>
      </c>
      <c r="B172" s="264" t="s">
        <v>9</v>
      </c>
      <c r="C172" s="265" t="s">
        <v>10</v>
      </c>
      <c r="D172" s="310" t="s">
        <v>11</v>
      </c>
      <c r="E172" s="266" t="s">
        <v>12</v>
      </c>
      <c r="F172" s="262"/>
    </row>
    <row r="173" spans="1:6" ht="12.75" customHeight="1" x14ac:dyDescent="0.2">
      <c r="A173" s="463">
        <v>1101004</v>
      </c>
      <c r="B173" s="458" t="s">
        <v>246</v>
      </c>
      <c r="C173" s="383">
        <v>11</v>
      </c>
      <c r="D173" s="275">
        <v>14260</v>
      </c>
      <c r="E173" s="344">
        <v>156860</v>
      </c>
      <c r="F173" s="262"/>
    </row>
    <row r="174" spans="1:6" ht="12.75" customHeight="1" x14ac:dyDescent="0.2">
      <c r="A174" s="457">
        <v>1101006</v>
      </c>
      <c r="B174" s="459" t="s">
        <v>247</v>
      </c>
      <c r="C174" s="380">
        <v>0</v>
      </c>
      <c r="D174" s="270">
        <v>11400</v>
      </c>
      <c r="E174" s="345">
        <v>0</v>
      </c>
      <c r="F174" s="262"/>
    </row>
    <row r="175" spans="1:6" ht="24.75" customHeight="1" x14ac:dyDescent="0.2">
      <c r="A175" s="457" t="s">
        <v>248</v>
      </c>
      <c r="B175" s="460" t="s">
        <v>249</v>
      </c>
      <c r="C175" s="380">
        <v>636</v>
      </c>
      <c r="D175" s="270">
        <v>4880</v>
      </c>
      <c r="E175" s="345">
        <v>3103680</v>
      </c>
      <c r="F175" s="262"/>
    </row>
    <row r="176" spans="1:6" ht="24.75" customHeight="1" x14ac:dyDescent="0.2">
      <c r="A176" s="457" t="s">
        <v>250</v>
      </c>
      <c r="B176" s="460" t="s">
        <v>251</v>
      </c>
      <c r="C176" s="380">
        <v>7</v>
      </c>
      <c r="D176" s="270">
        <v>13770</v>
      </c>
      <c r="E176" s="345">
        <v>96390</v>
      </c>
      <c r="F176" s="262"/>
    </row>
    <row r="177" spans="1:6" ht="24.75" customHeight="1" x14ac:dyDescent="0.2">
      <c r="A177" s="457" t="s">
        <v>252</v>
      </c>
      <c r="B177" s="460" t="s">
        <v>253</v>
      </c>
      <c r="C177" s="380">
        <v>32</v>
      </c>
      <c r="D177" s="270">
        <v>23350</v>
      </c>
      <c r="E177" s="345">
        <v>747200</v>
      </c>
      <c r="F177" s="262"/>
    </row>
    <row r="178" spans="1:6" ht="12.75" customHeight="1" x14ac:dyDescent="0.2">
      <c r="A178" s="457" t="s">
        <v>254</v>
      </c>
      <c r="B178" s="460" t="s">
        <v>255</v>
      </c>
      <c r="C178" s="380">
        <v>0</v>
      </c>
      <c r="D178" s="270">
        <v>44580</v>
      </c>
      <c r="E178" s="345">
        <v>0</v>
      </c>
      <c r="F178" s="262"/>
    </row>
    <row r="179" spans="1:6" ht="12.75" customHeight="1" x14ac:dyDescent="0.2">
      <c r="A179" s="457" t="s">
        <v>256</v>
      </c>
      <c r="B179" s="460" t="s">
        <v>257</v>
      </c>
      <c r="C179" s="380">
        <v>111</v>
      </c>
      <c r="D179" s="270">
        <v>49690</v>
      </c>
      <c r="E179" s="345">
        <v>5515590</v>
      </c>
      <c r="F179" s="262"/>
    </row>
    <row r="180" spans="1:6" ht="24.75" customHeight="1" x14ac:dyDescent="0.2">
      <c r="A180" s="457" t="s">
        <v>258</v>
      </c>
      <c r="B180" s="460" t="s">
        <v>259</v>
      </c>
      <c r="C180" s="380">
        <v>0</v>
      </c>
      <c r="D180" s="270">
        <v>27870</v>
      </c>
      <c r="E180" s="345">
        <v>0</v>
      </c>
      <c r="F180" s="262"/>
    </row>
    <row r="181" spans="1:6" ht="12.75" customHeight="1" x14ac:dyDescent="0.2">
      <c r="A181" s="457" t="s">
        <v>260</v>
      </c>
      <c r="B181" s="461" t="s">
        <v>261</v>
      </c>
      <c r="C181" s="380">
        <v>0</v>
      </c>
      <c r="D181" s="270">
        <v>215630</v>
      </c>
      <c r="E181" s="345">
        <v>0</v>
      </c>
      <c r="F181" s="262"/>
    </row>
    <row r="182" spans="1:6" ht="12.75" customHeight="1" x14ac:dyDescent="0.2">
      <c r="A182" s="457" t="s">
        <v>262</v>
      </c>
      <c r="B182" s="460" t="s">
        <v>263</v>
      </c>
      <c r="C182" s="380">
        <v>0</v>
      </c>
      <c r="D182" s="270">
        <v>245140</v>
      </c>
      <c r="E182" s="345">
        <v>0</v>
      </c>
      <c r="F182" s="262"/>
    </row>
    <row r="183" spans="1:6" ht="12.75" customHeight="1" x14ac:dyDescent="0.2">
      <c r="A183" s="457" t="s">
        <v>264</v>
      </c>
      <c r="B183" s="460" t="s">
        <v>265</v>
      </c>
      <c r="C183" s="380">
        <v>0</v>
      </c>
      <c r="D183" s="270">
        <v>199900</v>
      </c>
      <c r="E183" s="345">
        <v>0</v>
      </c>
      <c r="F183" s="262"/>
    </row>
    <row r="184" spans="1:6" ht="24.75" customHeight="1" x14ac:dyDescent="0.2">
      <c r="A184" s="457" t="s">
        <v>266</v>
      </c>
      <c r="B184" s="461" t="s">
        <v>267</v>
      </c>
      <c r="C184" s="380">
        <v>0</v>
      </c>
      <c r="D184" s="270">
        <v>256770</v>
      </c>
      <c r="E184" s="345">
        <v>0</v>
      </c>
      <c r="F184" s="262"/>
    </row>
    <row r="185" spans="1:6" ht="24.75" customHeight="1" x14ac:dyDescent="0.2">
      <c r="A185" s="457" t="s">
        <v>268</v>
      </c>
      <c r="B185" s="461" t="s">
        <v>269</v>
      </c>
      <c r="C185" s="380">
        <v>0</v>
      </c>
      <c r="D185" s="270">
        <v>262730</v>
      </c>
      <c r="E185" s="345">
        <v>0</v>
      </c>
      <c r="F185" s="262"/>
    </row>
    <row r="186" spans="1:6" ht="24.75" customHeight="1" x14ac:dyDescent="0.2">
      <c r="A186" s="457" t="s">
        <v>270</v>
      </c>
      <c r="B186" s="461" t="s">
        <v>271</v>
      </c>
      <c r="C186" s="380">
        <v>0</v>
      </c>
      <c r="D186" s="270">
        <v>222180</v>
      </c>
      <c r="E186" s="345">
        <v>0</v>
      </c>
      <c r="F186" s="262"/>
    </row>
    <row r="187" spans="1:6" ht="12.75" customHeight="1" x14ac:dyDescent="0.2">
      <c r="A187" s="457" t="s">
        <v>272</v>
      </c>
      <c r="B187" s="461" t="s">
        <v>273</v>
      </c>
      <c r="C187" s="380">
        <v>0</v>
      </c>
      <c r="D187" s="270">
        <v>237160</v>
      </c>
      <c r="E187" s="345">
        <v>0</v>
      </c>
      <c r="F187" s="262"/>
    </row>
    <row r="188" spans="1:6" ht="12.75" customHeight="1" x14ac:dyDescent="0.2">
      <c r="A188" s="457" t="s">
        <v>274</v>
      </c>
      <c r="B188" s="461" t="s">
        <v>275</v>
      </c>
      <c r="C188" s="380">
        <v>0</v>
      </c>
      <c r="D188" s="270">
        <v>283580</v>
      </c>
      <c r="E188" s="345">
        <v>0</v>
      </c>
      <c r="F188" s="262"/>
    </row>
    <row r="189" spans="1:6" ht="24.75" customHeight="1" x14ac:dyDescent="0.2">
      <c r="A189" s="457" t="s">
        <v>276</v>
      </c>
      <c r="B189" s="460" t="s">
        <v>277</v>
      </c>
      <c r="C189" s="380">
        <v>0</v>
      </c>
      <c r="D189" s="270">
        <v>251470</v>
      </c>
      <c r="E189" s="345">
        <v>0</v>
      </c>
      <c r="F189" s="262"/>
    </row>
    <row r="190" spans="1:6" ht="24.75" customHeight="1" x14ac:dyDescent="0.2">
      <c r="A190" s="457" t="s">
        <v>278</v>
      </c>
      <c r="B190" s="461" t="s">
        <v>279</v>
      </c>
      <c r="C190" s="380">
        <v>0</v>
      </c>
      <c r="D190" s="270">
        <v>1840310</v>
      </c>
      <c r="E190" s="345">
        <v>0</v>
      </c>
      <c r="F190" s="262"/>
    </row>
    <row r="191" spans="1:6" ht="12.75" customHeight="1" x14ac:dyDescent="0.2">
      <c r="A191" s="457" t="s">
        <v>280</v>
      </c>
      <c r="B191" s="461" t="s">
        <v>281</v>
      </c>
      <c r="C191" s="380">
        <v>0</v>
      </c>
      <c r="D191" s="270">
        <v>1149460</v>
      </c>
      <c r="E191" s="345">
        <v>0</v>
      </c>
      <c r="F191" s="262"/>
    </row>
    <row r="192" spans="1:6" ht="12.75" customHeight="1" x14ac:dyDescent="0.2">
      <c r="A192" s="435" t="s">
        <v>282</v>
      </c>
      <c r="B192" s="461" t="s">
        <v>283</v>
      </c>
      <c r="C192" s="380">
        <v>0</v>
      </c>
      <c r="D192" s="270">
        <v>1112540</v>
      </c>
      <c r="E192" s="345">
        <v>0</v>
      </c>
      <c r="F192" s="262"/>
    </row>
    <row r="193" spans="1:6" ht="24.75" customHeight="1" x14ac:dyDescent="0.2">
      <c r="A193" s="457" t="s">
        <v>284</v>
      </c>
      <c r="B193" s="461" t="s">
        <v>285</v>
      </c>
      <c r="C193" s="380">
        <v>0</v>
      </c>
      <c r="D193" s="270">
        <v>1165530</v>
      </c>
      <c r="E193" s="345">
        <v>0</v>
      </c>
      <c r="F193" s="262"/>
    </row>
    <row r="194" spans="1:6" ht="12.75" customHeight="1" x14ac:dyDescent="0.2">
      <c r="A194" s="435" t="s">
        <v>286</v>
      </c>
      <c r="B194" s="461" t="s">
        <v>287</v>
      </c>
      <c r="C194" s="380">
        <v>0</v>
      </c>
      <c r="D194" s="270">
        <v>164930</v>
      </c>
      <c r="E194" s="345">
        <v>0</v>
      </c>
      <c r="F194" s="262"/>
    </row>
    <row r="195" spans="1:6" ht="12.75" customHeight="1" x14ac:dyDescent="0.2">
      <c r="A195" s="435" t="s">
        <v>288</v>
      </c>
      <c r="B195" s="461" t="s">
        <v>289</v>
      </c>
      <c r="C195" s="380">
        <v>0</v>
      </c>
      <c r="D195" s="270">
        <v>376370</v>
      </c>
      <c r="E195" s="345">
        <v>0</v>
      </c>
      <c r="F195" s="262"/>
    </row>
    <row r="196" spans="1:6" ht="12.75" customHeight="1" x14ac:dyDescent="0.2">
      <c r="A196" s="457" t="s">
        <v>290</v>
      </c>
      <c r="B196" s="461" t="s">
        <v>291</v>
      </c>
      <c r="C196" s="380">
        <v>0</v>
      </c>
      <c r="D196" s="270">
        <v>139530</v>
      </c>
      <c r="E196" s="345">
        <v>0</v>
      </c>
      <c r="F196" s="262"/>
    </row>
    <row r="197" spans="1:6" ht="12.75" customHeight="1" x14ac:dyDescent="0.2">
      <c r="A197" s="457" t="s">
        <v>292</v>
      </c>
      <c r="B197" s="461" t="s">
        <v>293</v>
      </c>
      <c r="C197" s="380">
        <v>0</v>
      </c>
      <c r="D197" s="270">
        <v>1130520</v>
      </c>
      <c r="E197" s="345">
        <v>0</v>
      </c>
      <c r="F197" s="262"/>
    </row>
    <row r="198" spans="1:6" ht="12.75" customHeight="1" x14ac:dyDescent="0.2">
      <c r="A198" s="457" t="s">
        <v>294</v>
      </c>
      <c r="B198" s="461" t="s">
        <v>295</v>
      </c>
      <c r="C198" s="380">
        <v>0</v>
      </c>
      <c r="D198" s="270">
        <v>1130520</v>
      </c>
      <c r="E198" s="345">
        <v>0</v>
      </c>
      <c r="F198" s="262"/>
    </row>
    <row r="199" spans="1:6" ht="12.75" customHeight="1" x14ac:dyDescent="0.2">
      <c r="A199" s="457">
        <v>1801001</v>
      </c>
      <c r="B199" s="459" t="s">
        <v>296</v>
      </c>
      <c r="C199" s="380">
        <v>48</v>
      </c>
      <c r="D199" s="270">
        <v>33720</v>
      </c>
      <c r="E199" s="345">
        <v>1618560</v>
      </c>
      <c r="F199" s="262"/>
    </row>
    <row r="200" spans="1:6" ht="12.75" customHeight="1" x14ac:dyDescent="0.2">
      <c r="A200" s="457">
        <v>1801003</v>
      </c>
      <c r="B200" s="461" t="s">
        <v>297</v>
      </c>
      <c r="C200" s="380">
        <v>0</v>
      </c>
      <c r="D200" s="270">
        <v>40670</v>
      </c>
      <c r="E200" s="345">
        <v>0</v>
      </c>
      <c r="F200" s="262"/>
    </row>
    <row r="201" spans="1:6" ht="12.75" customHeight="1" x14ac:dyDescent="0.2">
      <c r="A201" s="457">
        <v>1801006</v>
      </c>
      <c r="B201" s="459" t="s">
        <v>298</v>
      </c>
      <c r="C201" s="380">
        <v>0</v>
      </c>
      <c r="D201" s="270">
        <v>43320</v>
      </c>
      <c r="E201" s="345">
        <v>0</v>
      </c>
      <c r="F201" s="262"/>
    </row>
    <row r="202" spans="1:6" ht="24.75" customHeight="1" x14ac:dyDescent="0.2">
      <c r="A202" s="457" t="s">
        <v>299</v>
      </c>
      <c r="B202" s="459" t="s">
        <v>300</v>
      </c>
      <c r="C202" s="380">
        <v>2</v>
      </c>
      <c r="D202" s="270">
        <v>9120</v>
      </c>
      <c r="E202" s="345">
        <v>18240</v>
      </c>
      <c r="F202" s="262"/>
    </row>
    <row r="203" spans="1:6" ht="24.75" customHeight="1" x14ac:dyDescent="0.2">
      <c r="A203" s="464" t="s">
        <v>301</v>
      </c>
      <c r="B203" s="462" t="s">
        <v>302</v>
      </c>
      <c r="C203" s="417">
        <v>0</v>
      </c>
      <c r="D203" s="355">
        <v>386950</v>
      </c>
      <c r="E203" s="356">
        <v>0</v>
      </c>
      <c r="F203" s="262"/>
    </row>
    <row r="204" spans="1:6" ht="17.25" customHeight="1" x14ac:dyDescent="0.2">
      <c r="A204" s="442"/>
      <c r="B204" s="441" t="s">
        <v>303</v>
      </c>
      <c r="C204" s="279">
        <v>847</v>
      </c>
      <c r="D204" s="348"/>
      <c r="E204" s="349">
        <v>11256520</v>
      </c>
      <c r="F204" s="262"/>
    </row>
    <row r="205" spans="1:6" ht="21.75" customHeight="1" x14ac:dyDescent="0.2">
      <c r="A205" s="262"/>
      <c r="B205" s="262"/>
      <c r="C205" s="262"/>
      <c r="D205" s="262"/>
      <c r="E205" s="262"/>
      <c r="F205" s="262"/>
    </row>
    <row r="206" spans="1:6" ht="19.5" customHeight="1" x14ac:dyDescent="0.2">
      <c r="A206" s="262"/>
      <c r="B206" s="262"/>
      <c r="C206" s="262"/>
      <c r="D206" s="262"/>
      <c r="E206" s="262"/>
      <c r="F206" s="262"/>
    </row>
    <row r="207" spans="1:6" ht="18" customHeight="1" x14ac:dyDescent="0.2">
      <c r="A207" s="583" t="s">
        <v>304</v>
      </c>
      <c r="B207" s="584"/>
      <c r="C207" s="584"/>
      <c r="D207" s="584"/>
      <c r="E207" s="585"/>
      <c r="F207" s="259"/>
    </row>
    <row r="208" spans="1:6" ht="39.75" customHeight="1" x14ac:dyDescent="0.2">
      <c r="A208" s="264" t="s">
        <v>8</v>
      </c>
      <c r="B208" s="264" t="s">
        <v>9</v>
      </c>
      <c r="C208" s="265" t="s">
        <v>10</v>
      </c>
      <c r="D208" s="310" t="s">
        <v>11</v>
      </c>
      <c r="E208" s="266" t="s">
        <v>12</v>
      </c>
      <c r="F208" s="259"/>
    </row>
    <row r="209" spans="1:6" ht="12.75" customHeight="1" x14ac:dyDescent="0.2">
      <c r="A209" s="434" t="s">
        <v>305</v>
      </c>
      <c r="B209" s="451" t="s">
        <v>306</v>
      </c>
      <c r="C209" s="383">
        <v>0</v>
      </c>
      <c r="D209" s="275">
        <v>14110</v>
      </c>
      <c r="E209" s="344">
        <v>0</v>
      </c>
      <c r="F209" s="262"/>
    </row>
    <row r="210" spans="1:6" ht="12.75" customHeight="1" x14ac:dyDescent="0.2">
      <c r="A210" s="435" t="s">
        <v>307</v>
      </c>
      <c r="B210" s="431" t="s">
        <v>308</v>
      </c>
      <c r="C210" s="380">
        <v>63</v>
      </c>
      <c r="D210" s="270">
        <v>14110</v>
      </c>
      <c r="E210" s="345">
        <v>888930</v>
      </c>
      <c r="F210" s="262"/>
    </row>
    <row r="211" spans="1:6" ht="12.75" customHeight="1" x14ac:dyDescent="0.2">
      <c r="A211" s="435" t="s">
        <v>309</v>
      </c>
      <c r="B211" s="430" t="s">
        <v>310</v>
      </c>
      <c r="C211" s="380">
        <v>0</v>
      </c>
      <c r="D211" s="270">
        <v>1350</v>
      </c>
      <c r="E211" s="345">
        <v>0</v>
      </c>
      <c r="F211" s="262"/>
    </row>
    <row r="212" spans="1:6" ht="12.75" customHeight="1" x14ac:dyDescent="0.2">
      <c r="A212" s="435" t="s">
        <v>311</v>
      </c>
      <c r="B212" s="430" t="s">
        <v>312</v>
      </c>
      <c r="C212" s="380">
        <v>400</v>
      </c>
      <c r="D212" s="270">
        <v>660</v>
      </c>
      <c r="E212" s="345">
        <v>264000</v>
      </c>
      <c r="F212" s="262"/>
    </row>
    <row r="213" spans="1:6" ht="12.75" customHeight="1" x14ac:dyDescent="0.2">
      <c r="A213" s="435" t="s">
        <v>313</v>
      </c>
      <c r="B213" s="431" t="s">
        <v>314</v>
      </c>
      <c r="C213" s="380">
        <v>331</v>
      </c>
      <c r="D213" s="270">
        <v>2000</v>
      </c>
      <c r="E213" s="345">
        <v>662000</v>
      </c>
      <c r="F213" s="262"/>
    </row>
    <row r="214" spans="1:6" ht="12.75" customHeight="1" x14ac:dyDescent="0.2">
      <c r="A214" s="435" t="s">
        <v>315</v>
      </c>
      <c r="B214" s="431" t="s">
        <v>316</v>
      </c>
      <c r="C214" s="380">
        <v>53</v>
      </c>
      <c r="D214" s="270">
        <v>15030</v>
      </c>
      <c r="E214" s="345">
        <v>796590</v>
      </c>
      <c r="F214" s="262"/>
    </row>
    <row r="215" spans="1:6" ht="12.75" customHeight="1" x14ac:dyDescent="0.2">
      <c r="A215" s="435" t="s">
        <v>317</v>
      </c>
      <c r="B215" s="430" t="s">
        <v>318</v>
      </c>
      <c r="C215" s="380">
        <v>83</v>
      </c>
      <c r="D215" s="270">
        <v>34510</v>
      </c>
      <c r="E215" s="345">
        <v>2864330</v>
      </c>
      <c r="F215" s="262"/>
    </row>
    <row r="216" spans="1:6" ht="12.75" customHeight="1" x14ac:dyDescent="0.2">
      <c r="A216" s="457" t="s">
        <v>319</v>
      </c>
      <c r="B216" s="430" t="s">
        <v>320</v>
      </c>
      <c r="C216" s="380">
        <v>22</v>
      </c>
      <c r="D216" s="357"/>
      <c r="E216" s="345">
        <v>189420</v>
      </c>
      <c r="F216" s="262"/>
    </row>
    <row r="217" spans="1:6" ht="12.75" customHeight="1" x14ac:dyDescent="0.2">
      <c r="A217" s="436" t="s">
        <v>321</v>
      </c>
      <c r="B217" s="432" t="s">
        <v>322</v>
      </c>
      <c r="C217" s="395">
        <v>28</v>
      </c>
      <c r="D217" s="277">
        <v>27970</v>
      </c>
      <c r="E217" s="350">
        <v>783160</v>
      </c>
      <c r="F217" s="262"/>
    </row>
    <row r="218" spans="1:6" ht="12.75" x14ac:dyDescent="0.2">
      <c r="A218" s="442"/>
      <c r="B218" s="441" t="s">
        <v>323</v>
      </c>
      <c r="C218" s="279">
        <v>980</v>
      </c>
      <c r="D218" s="348"/>
      <c r="E218" s="356">
        <v>6448430</v>
      </c>
      <c r="F218" s="262"/>
    </row>
    <row r="219" spans="1:6" ht="17.25" customHeight="1" x14ac:dyDescent="0.2">
      <c r="A219" s="262"/>
      <c r="B219" s="262"/>
      <c r="C219" s="262"/>
      <c r="D219" s="262"/>
      <c r="E219" s="262"/>
      <c r="F219" s="262"/>
    </row>
    <row r="220" spans="1:6" ht="18" customHeight="1" x14ac:dyDescent="0.2">
      <c r="A220" s="262"/>
      <c r="B220" s="262"/>
      <c r="C220" s="262"/>
      <c r="D220" s="262"/>
      <c r="E220" s="262"/>
      <c r="F220" s="262"/>
    </row>
    <row r="221" spans="1:6" ht="27.75" customHeight="1" x14ac:dyDescent="0.2">
      <c r="A221" s="605" t="s">
        <v>324</v>
      </c>
      <c r="B221" s="606"/>
      <c r="C221" s="607"/>
      <c r="D221" s="262"/>
      <c r="E221" s="262"/>
      <c r="F221" s="259"/>
    </row>
    <row r="222" spans="1:6" ht="42.75" customHeight="1" x14ac:dyDescent="0.2">
      <c r="A222" s="264" t="s">
        <v>8</v>
      </c>
      <c r="B222" s="264" t="s">
        <v>10</v>
      </c>
      <c r="C222" s="264" t="s">
        <v>12</v>
      </c>
      <c r="D222" s="259"/>
      <c r="E222" s="262"/>
      <c r="F222" s="262"/>
    </row>
    <row r="223" spans="1:6" ht="15" customHeight="1" x14ac:dyDescent="0.2">
      <c r="A223" s="434" t="s">
        <v>325</v>
      </c>
      <c r="B223" s="452" t="s">
        <v>326</v>
      </c>
      <c r="C223" s="358"/>
      <c r="D223" s="359"/>
      <c r="E223" s="262"/>
      <c r="F223" s="262"/>
    </row>
    <row r="224" spans="1:6" ht="15" customHeight="1" x14ac:dyDescent="0.2">
      <c r="A224" s="455" t="s">
        <v>327</v>
      </c>
      <c r="B224" s="453" t="s">
        <v>328</v>
      </c>
      <c r="C224" s="360"/>
      <c r="D224" s="359"/>
      <c r="E224" s="262"/>
      <c r="F224" s="262"/>
    </row>
    <row r="225" spans="1:7" ht="18" customHeight="1" x14ac:dyDescent="0.2">
      <c r="A225" s="456"/>
      <c r="B225" s="454" t="s">
        <v>329</v>
      </c>
      <c r="C225" s="416">
        <v>0</v>
      </c>
      <c r="D225" s="359"/>
      <c r="E225" s="262"/>
      <c r="F225" s="262"/>
      <c r="G225" s="255"/>
    </row>
    <row r="226" spans="1:7" ht="18" customHeight="1" x14ac:dyDescent="0.2">
      <c r="A226" s="262"/>
      <c r="B226" s="262"/>
      <c r="C226" s="262"/>
      <c r="D226" s="359"/>
      <c r="E226" s="359"/>
      <c r="F226" s="359"/>
      <c r="G226" s="255"/>
    </row>
    <row r="227" spans="1:7" ht="18" customHeight="1" x14ac:dyDescent="0.2">
      <c r="A227" s="262"/>
      <c r="B227" s="262"/>
      <c r="C227" s="262"/>
      <c r="D227" s="262"/>
      <c r="E227" s="262"/>
      <c r="F227" s="359"/>
      <c r="G227" s="361"/>
    </row>
    <row r="228" spans="1:7" ht="18" customHeight="1" x14ac:dyDescent="0.2">
      <c r="A228" s="583" t="s">
        <v>330</v>
      </c>
      <c r="B228" s="584"/>
      <c r="C228" s="584"/>
      <c r="D228" s="584"/>
      <c r="E228" s="585"/>
      <c r="F228" s="359"/>
      <c r="G228" s="361"/>
    </row>
    <row r="229" spans="1:7" ht="56.25" customHeight="1" x14ac:dyDescent="0.2">
      <c r="A229" s="264" t="s">
        <v>8</v>
      </c>
      <c r="B229" s="264" t="s">
        <v>9</v>
      </c>
      <c r="C229" s="265" t="s">
        <v>10</v>
      </c>
      <c r="D229" s="310" t="s">
        <v>11</v>
      </c>
      <c r="E229" s="266" t="s">
        <v>12</v>
      </c>
      <c r="F229" s="359"/>
      <c r="G229" s="361"/>
    </row>
    <row r="230" spans="1:7" ht="15" customHeight="1" x14ac:dyDescent="0.2">
      <c r="A230" s="434" t="s">
        <v>331</v>
      </c>
      <c r="B230" s="451" t="s">
        <v>332</v>
      </c>
      <c r="C230" s="414">
        <v>375</v>
      </c>
      <c r="D230" s="275">
        <v>19310</v>
      </c>
      <c r="E230" s="344">
        <v>7241250</v>
      </c>
      <c r="F230" s="262"/>
      <c r="G230" s="255"/>
    </row>
    <row r="231" spans="1:7" ht="15" customHeight="1" x14ac:dyDescent="0.2">
      <c r="A231" s="436" t="s">
        <v>333</v>
      </c>
      <c r="B231" s="432" t="s">
        <v>334</v>
      </c>
      <c r="C231" s="415">
        <v>0</v>
      </c>
      <c r="D231" s="277">
        <v>242060</v>
      </c>
      <c r="E231" s="350">
        <v>0</v>
      </c>
      <c r="F231" s="262"/>
      <c r="G231" s="255"/>
    </row>
    <row r="232" spans="1:7" ht="18" customHeight="1" x14ac:dyDescent="0.2">
      <c r="A232" s="442"/>
      <c r="B232" s="441" t="s">
        <v>335</v>
      </c>
      <c r="C232" s="279">
        <v>375</v>
      </c>
      <c r="D232" s="348"/>
      <c r="E232" s="349">
        <v>7241250</v>
      </c>
      <c r="F232" s="262"/>
      <c r="G232" s="255"/>
    </row>
    <row r="233" spans="1:7" ht="18" customHeight="1" x14ac:dyDescent="0.2">
      <c r="A233" s="362"/>
      <c r="B233" s="363"/>
      <c r="C233" s="364"/>
      <c r="D233" s="362"/>
      <c r="E233" s="362"/>
      <c r="F233" s="262"/>
      <c r="G233" s="255"/>
    </row>
    <row r="234" spans="1:7" ht="18" customHeight="1" x14ac:dyDescent="0.2">
      <c r="A234" s="362"/>
      <c r="B234" s="363"/>
      <c r="C234" s="364"/>
      <c r="D234" s="362"/>
      <c r="E234" s="362"/>
      <c r="F234" s="262"/>
      <c r="G234" s="255"/>
    </row>
    <row r="235" spans="1:7" ht="18" customHeight="1" x14ac:dyDescent="0.2">
      <c r="A235" s="591" t="s">
        <v>336</v>
      </c>
      <c r="B235" s="584"/>
      <c r="C235" s="584"/>
      <c r="D235" s="584"/>
      <c r="E235" s="585"/>
      <c r="F235" s="262"/>
      <c r="G235" s="255"/>
    </row>
    <row r="236" spans="1:7" ht="41.25" customHeight="1" x14ac:dyDescent="0.2">
      <c r="A236" s="264" t="s">
        <v>8</v>
      </c>
      <c r="B236" s="264" t="s">
        <v>9</v>
      </c>
      <c r="C236" s="265" t="s">
        <v>10</v>
      </c>
      <c r="D236" s="310" t="s">
        <v>11</v>
      </c>
      <c r="E236" s="266" t="s">
        <v>12</v>
      </c>
      <c r="F236" s="262"/>
      <c r="G236" s="255"/>
    </row>
    <row r="237" spans="1:7" ht="18" customHeight="1" x14ac:dyDescent="0.2">
      <c r="A237" s="341" t="s">
        <v>337</v>
      </c>
      <c r="B237" s="287" t="s">
        <v>338</v>
      </c>
      <c r="C237" s="365">
        <v>532</v>
      </c>
      <c r="D237" s="366"/>
      <c r="E237" s="367">
        <v>3406420</v>
      </c>
      <c r="F237" s="262"/>
      <c r="G237" s="255"/>
    </row>
    <row r="238" spans="1:7" ht="18" customHeight="1" x14ac:dyDescent="0.2">
      <c r="A238" s="362"/>
      <c r="B238" s="363"/>
      <c r="C238" s="364"/>
      <c r="D238" s="362"/>
      <c r="E238" s="362"/>
      <c r="F238" s="262"/>
      <c r="G238" s="255"/>
    </row>
    <row r="239" spans="1:7" ht="18" customHeight="1" x14ac:dyDescent="0.2">
      <c r="A239" s="591" t="s">
        <v>339</v>
      </c>
      <c r="B239" s="592"/>
      <c r="C239" s="592"/>
      <c r="D239" s="592"/>
      <c r="E239" s="593"/>
      <c r="F239" s="262"/>
      <c r="G239" s="255"/>
    </row>
    <row r="240" spans="1:7" ht="43.5" customHeight="1" x14ac:dyDescent="0.2">
      <c r="A240" s="264" t="s">
        <v>8</v>
      </c>
      <c r="B240" s="265" t="s">
        <v>340</v>
      </c>
      <c r="C240" s="309" t="s">
        <v>341</v>
      </c>
      <c r="D240" s="310" t="s">
        <v>11</v>
      </c>
      <c r="E240" s="266" t="s">
        <v>12</v>
      </c>
      <c r="F240" s="262"/>
      <c r="G240" s="255"/>
    </row>
    <row r="241" spans="1:6" ht="15" customHeight="1" x14ac:dyDescent="0.2">
      <c r="A241" s="274" t="s">
        <v>342</v>
      </c>
      <c r="B241" s="397" t="s">
        <v>343</v>
      </c>
      <c r="C241" s="383">
        <v>0</v>
      </c>
      <c r="D241" s="275">
        <v>247230</v>
      </c>
      <c r="E241" s="344">
        <v>0</v>
      </c>
      <c r="F241" s="262"/>
    </row>
    <row r="242" spans="1:6" ht="15" customHeight="1" x14ac:dyDescent="0.2">
      <c r="A242" s="269" t="s">
        <v>344</v>
      </c>
      <c r="B242" s="398" t="s">
        <v>345</v>
      </c>
      <c r="C242" s="380">
        <v>0</v>
      </c>
      <c r="D242" s="270">
        <v>35130</v>
      </c>
      <c r="E242" s="345">
        <v>0</v>
      </c>
      <c r="F242" s="262"/>
    </row>
    <row r="243" spans="1:6" ht="15" customHeight="1" x14ac:dyDescent="0.2">
      <c r="A243" s="269" t="s">
        <v>346</v>
      </c>
      <c r="B243" s="398" t="s">
        <v>347</v>
      </c>
      <c r="C243" s="380">
        <v>0</v>
      </c>
      <c r="D243" s="270">
        <v>132520</v>
      </c>
      <c r="E243" s="345">
        <v>0</v>
      </c>
      <c r="F243" s="262"/>
    </row>
    <row r="244" spans="1:6" ht="15" customHeight="1" x14ac:dyDescent="0.2">
      <c r="A244" s="269" t="s">
        <v>348</v>
      </c>
      <c r="B244" s="398" t="s">
        <v>349</v>
      </c>
      <c r="C244" s="380">
        <v>0</v>
      </c>
      <c r="D244" s="270">
        <v>132520</v>
      </c>
      <c r="E244" s="345">
        <v>0</v>
      </c>
      <c r="F244" s="262"/>
    </row>
    <row r="245" spans="1:6" ht="15" customHeight="1" x14ac:dyDescent="0.2">
      <c r="A245" s="269" t="s">
        <v>350</v>
      </c>
      <c r="B245" s="398" t="s">
        <v>351</v>
      </c>
      <c r="C245" s="380">
        <v>0</v>
      </c>
      <c r="D245" s="270">
        <v>241260</v>
      </c>
      <c r="E245" s="345">
        <v>0</v>
      </c>
      <c r="F245" s="262"/>
    </row>
    <row r="246" spans="1:6" ht="15" customHeight="1" x14ac:dyDescent="0.2">
      <c r="A246" s="269" t="s">
        <v>352</v>
      </c>
      <c r="B246" s="398" t="s">
        <v>353</v>
      </c>
      <c r="C246" s="380">
        <v>0</v>
      </c>
      <c r="D246" s="270">
        <v>370240</v>
      </c>
      <c r="E246" s="345">
        <v>0</v>
      </c>
      <c r="F246" s="262"/>
    </row>
    <row r="247" spans="1:6" ht="15" customHeight="1" x14ac:dyDescent="0.2">
      <c r="A247" s="269" t="s">
        <v>354</v>
      </c>
      <c r="B247" s="398" t="s">
        <v>355</v>
      </c>
      <c r="C247" s="380">
        <v>0</v>
      </c>
      <c r="D247" s="270">
        <v>631610</v>
      </c>
      <c r="E247" s="345">
        <v>0</v>
      </c>
      <c r="F247" s="262"/>
    </row>
    <row r="248" spans="1:6" ht="15" customHeight="1" x14ac:dyDescent="0.2">
      <c r="A248" s="292" t="s">
        <v>356</v>
      </c>
      <c r="B248" s="398" t="s">
        <v>357</v>
      </c>
      <c r="C248" s="380">
        <v>0</v>
      </c>
      <c r="D248" s="270">
        <v>131550</v>
      </c>
      <c r="E248" s="345">
        <v>0</v>
      </c>
      <c r="F248" s="262"/>
    </row>
    <row r="249" spans="1:6" ht="15" customHeight="1" x14ac:dyDescent="0.2">
      <c r="A249" s="292" t="s">
        <v>358</v>
      </c>
      <c r="B249" s="398" t="s">
        <v>359</v>
      </c>
      <c r="C249" s="380">
        <v>0</v>
      </c>
      <c r="D249" s="270">
        <v>354560</v>
      </c>
      <c r="E249" s="345">
        <v>0</v>
      </c>
      <c r="F249" s="262"/>
    </row>
    <row r="250" spans="1:6" ht="15" customHeight="1" x14ac:dyDescent="0.2">
      <c r="A250" s="292" t="s">
        <v>360</v>
      </c>
      <c r="B250" s="398" t="s">
        <v>361</v>
      </c>
      <c r="C250" s="410">
        <v>0</v>
      </c>
      <c r="D250" s="272">
        <v>149290</v>
      </c>
      <c r="E250" s="368">
        <v>0</v>
      </c>
      <c r="F250" s="262"/>
    </row>
    <row r="251" spans="1:6" ht="15" customHeight="1" x14ac:dyDescent="0.2">
      <c r="A251" s="292" t="s">
        <v>362</v>
      </c>
      <c r="B251" s="398" t="s">
        <v>363</v>
      </c>
      <c r="C251" s="410">
        <v>0</v>
      </c>
      <c r="D251" s="272">
        <v>129730</v>
      </c>
      <c r="E251" s="368">
        <v>0</v>
      </c>
      <c r="F251" s="262"/>
    </row>
    <row r="252" spans="1:6" ht="15" customHeight="1" x14ac:dyDescent="0.2">
      <c r="A252" s="292" t="s">
        <v>364</v>
      </c>
      <c r="B252" s="398" t="s">
        <v>365</v>
      </c>
      <c r="C252" s="410">
        <v>0</v>
      </c>
      <c r="D252" s="272">
        <v>197230</v>
      </c>
      <c r="E252" s="368">
        <v>0</v>
      </c>
      <c r="F252" s="262"/>
    </row>
    <row r="253" spans="1:6" ht="15" customHeight="1" x14ac:dyDescent="0.2">
      <c r="A253" s="292" t="s">
        <v>366</v>
      </c>
      <c r="B253" s="398" t="s">
        <v>367</v>
      </c>
      <c r="C253" s="410">
        <v>0</v>
      </c>
      <c r="D253" s="272">
        <v>51900</v>
      </c>
      <c r="E253" s="368">
        <v>0</v>
      </c>
      <c r="F253" s="262"/>
    </row>
    <row r="254" spans="1:6" ht="15" customHeight="1" x14ac:dyDescent="0.2">
      <c r="A254" s="327" t="s">
        <v>368</v>
      </c>
      <c r="B254" s="409" t="s">
        <v>369</v>
      </c>
      <c r="C254" s="395">
        <v>0</v>
      </c>
      <c r="D254" s="277">
        <v>38790</v>
      </c>
      <c r="E254" s="350">
        <v>0</v>
      </c>
      <c r="F254" s="262"/>
    </row>
    <row r="255" spans="1:6" ht="15" customHeight="1" x14ac:dyDescent="0.2">
      <c r="A255" s="586" t="s">
        <v>370</v>
      </c>
      <c r="B255" s="587"/>
      <c r="C255" s="587"/>
      <c r="D255" s="587"/>
      <c r="E255" s="588"/>
      <c r="F255" s="262"/>
    </row>
    <row r="256" spans="1:6" ht="15" customHeight="1" x14ac:dyDescent="0.2">
      <c r="A256" s="434" t="s">
        <v>371</v>
      </c>
      <c r="B256" s="448" t="s">
        <v>343</v>
      </c>
      <c r="C256" s="383">
        <v>0</v>
      </c>
      <c r="D256" s="275">
        <v>212700</v>
      </c>
      <c r="E256" s="344">
        <v>0</v>
      </c>
      <c r="F256" s="262"/>
    </row>
    <row r="257" spans="1:6" ht="15" customHeight="1" x14ac:dyDescent="0.2">
      <c r="A257" s="435" t="s">
        <v>372</v>
      </c>
      <c r="B257" s="449" t="s">
        <v>373</v>
      </c>
      <c r="C257" s="380">
        <v>0</v>
      </c>
      <c r="D257" s="270">
        <v>1265290</v>
      </c>
      <c r="E257" s="345">
        <v>0</v>
      </c>
      <c r="F257" s="262"/>
    </row>
    <row r="258" spans="1:6" ht="15" customHeight="1" x14ac:dyDescent="0.2">
      <c r="A258" s="435" t="s">
        <v>374</v>
      </c>
      <c r="B258" s="449" t="s">
        <v>375</v>
      </c>
      <c r="C258" s="380">
        <v>0</v>
      </c>
      <c r="D258" s="270">
        <v>190900</v>
      </c>
      <c r="E258" s="345">
        <v>0</v>
      </c>
      <c r="F258" s="262"/>
    </row>
    <row r="259" spans="1:6" ht="15" customHeight="1" x14ac:dyDescent="0.2">
      <c r="A259" s="435" t="s">
        <v>376</v>
      </c>
      <c r="B259" s="449" t="s">
        <v>377</v>
      </c>
      <c r="C259" s="380">
        <v>0</v>
      </c>
      <c r="D259" s="270">
        <v>168820</v>
      </c>
      <c r="E259" s="345">
        <v>0</v>
      </c>
      <c r="F259" s="262"/>
    </row>
    <row r="260" spans="1:6" ht="15" customHeight="1" x14ac:dyDescent="0.2">
      <c r="A260" s="435" t="s">
        <v>378</v>
      </c>
      <c r="B260" s="449" t="s">
        <v>379</v>
      </c>
      <c r="C260" s="380">
        <v>0</v>
      </c>
      <c r="D260" s="270">
        <v>342700</v>
      </c>
      <c r="E260" s="345">
        <v>0</v>
      </c>
      <c r="F260" s="262"/>
    </row>
    <row r="261" spans="1:6" ht="15" customHeight="1" x14ac:dyDescent="0.2">
      <c r="A261" s="435" t="s">
        <v>380</v>
      </c>
      <c r="B261" s="449" t="s">
        <v>381</v>
      </c>
      <c r="C261" s="380">
        <v>0</v>
      </c>
      <c r="D261" s="270">
        <v>1139590</v>
      </c>
      <c r="E261" s="345">
        <v>0</v>
      </c>
      <c r="F261" s="262"/>
    </row>
    <row r="262" spans="1:6" ht="15" customHeight="1" x14ac:dyDescent="0.2">
      <c r="A262" s="435" t="s">
        <v>382</v>
      </c>
      <c r="B262" s="449" t="s">
        <v>383</v>
      </c>
      <c r="C262" s="380">
        <v>0</v>
      </c>
      <c r="D262" s="270">
        <v>1171120</v>
      </c>
      <c r="E262" s="345">
        <v>0</v>
      </c>
      <c r="F262" s="262"/>
    </row>
    <row r="263" spans="1:6" ht="15" customHeight="1" x14ac:dyDescent="0.2">
      <c r="A263" s="435" t="s">
        <v>384</v>
      </c>
      <c r="B263" s="449" t="s">
        <v>385</v>
      </c>
      <c r="C263" s="380">
        <v>0</v>
      </c>
      <c r="D263" s="270">
        <v>927270</v>
      </c>
      <c r="E263" s="345">
        <v>0</v>
      </c>
      <c r="F263" s="262"/>
    </row>
    <row r="264" spans="1:6" ht="15" customHeight="1" x14ac:dyDescent="0.2">
      <c r="A264" s="435" t="s">
        <v>386</v>
      </c>
      <c r="B264" s="449" t="s">
        <v>387</v>
      </c>
      <c r="C264" s="380">
        <v>0</v>
      </c>
      <c r="D264" s="270">
        <v>977250</v>
      </c>
      <c r="E264" s="345">
        <v>0</v>
      </c>
      <c r="F264" s="262"/>
    </row>
    <row r="265" spans="1:6" ht="15" customHeight="1" x14ac:dyDescent="0.2">
      <c r="A265" s="435" t="s">
        <v>388</v>
      </c>
      <c r="B265" s="449" t="s">
        <v>389</v>
      </c>
      <c r="C265" s="380">
        <v>0</v>
      </c>
      <c r="D265" s="270">
        <v>385520</v>
      </c>
      <c r="E265" s="345">
        <v>0</v>
      </c>
      <c r="F265" s="262"/>
    </row>
    <row r="266" spans="1:6" ht="15" customHeight="1" x14ac:dyDescent="0.2">
      <c r="A266" s="435" t="s">
        <v>390</v>
      </c>
      <c r="B266" s="449" t="s">
        <v>391</v>
      </c>
      <c r="C266" s="380">
        <v>0</v>
      </c>
      <c r="D266" s="270">
        <v>92330</v>
      </c>
      <c r="E266" s="345">
        <v>0</v>
      </c>
      <c r="F266" s="262"/>
    </row>
    <row r="267" spans="1:6" ht="15" customHeight="1" x14ac:dyDescent="0.2">
      <c r="A267" s="435" t="s">
        <v>392</v>
      </c>
      <c r="B267" s="449" t="s">
        <v>393</v>
      </c>
      <c r="C267" s="380">
        <v>0</v>
      </c>
      <c r="D267" s="270">
        <v>275450</v>
      </c>
      <c r="E267" s="345">
        <v>0</v>
      </c>
      <c r="F267" s="262"/>
    </row>
    <row r="268" spans="1:6" ht="15" customHeight="1" x14ac:dyDescent="0.2">
      <c r="A268" s="435" t="s">
        <v>394</v>
      </c>
      <c r="B268" s="431" t="s">
        <v>395</v>
      </c>
      <c r="C268" s="380">
        <v>0</v>
      </c>
      <c r="D268" s="270">
        <v>77880</v>
      </c>
      <c r="E268" s="345">
        <v>0</v>
      </c>
      <c r="F268" s="262"/>
    </row>
    <row r="269" spans="1:6" ht="15" customHeight="1" x14ac:dyDescent="0.2">
      <c r="A269" s="435" t="s">
        <v>396</v>
      </c>
      <c r="B269" s="431" t="s">
        <v>397</v>
      </c>
      <c r="C269" s="380">
        <v>0</v>
      </c>
      <c r="D269" s="270">
        <v>1338250</v>
      </c>
      <c r="E269" s="345">
        <v>0</v>
      </c>
      <c r="F269" s="262"/>
    </row>
    <row r="270" spans="1:6" ht="15" customHeight="1" x14ac:dyDescent="0.2">
      <c r="A270" s="435" t="s">
        <v>398</v>
      </c>
      <c r="B270" s="431" t="s">
        <v>399</v>
      </c>
      <c r="C270" s="380">
        <v>0</v>
      </c>
      <c r="D270" s="270">
        <v>312910</v>
      </c>
      <c r="E270" s="345">
        <v>0</v>
      </c>
      <c r="F270" s="262"/>
    </row>
    <row r="271" spans="1:6" ht="15" customHeight="1" x14ac:dyDescent="0.2">
      <c r="A271" s="435" t="s">
        <v>400</v>
      </c>
      <c r="B271" s="431" t="s">
        <v>401</v>
      </c>
      <c r="C271" s="380">
        <v>0</v>
      </c>
      <c r="D271" s="270">
        <v>1048270</v>
      </c>
      <c r="E271" s="345">
        <v>0</v>
      </c>
      <c r="F271" s="262"/>
    </row>
    <row r="272" spans="1:6" ht="15" customHeight="1" x14ac:dyDescent="0.2">
      <c r="A272" s="435" t="s">
        <v>402</v>
      </c>
      <c r="B272" s="450" t="s">
        <v>403</v>
      </c>
      <c r="C272" s="380">
        <v>0</v>
      </c>
      <c r="D272" s="270">
        <v>641750</v>
      </c>
      <c r="E272" s="345">
        <v>0</v>
      </c>
      <c r="F272" s="262"/>
    </row>
    <row r="273" spans="1:10" ht="15" customHeight="1" x14ac:dyDescent="0.2">
      <c r="A273" s="436" t="s">
        <v>404</v>
      </c>
      <c r="B273" s="450" t="s">
        <v>405</v>
      </c>
      <c r="C273" s="395">
        <v>0</v>
      </c>
      <c r="D273" s="272">
        <v>523710</v>
      </c>
      <c r="E273" s="368">
        <v>0</v>
      </c>
      <c r="F273" s="262"/>
      <c r="G273" s="255"/>
      <c r="H273" s="255"/>
      <c r="I273" s="255"/>
      <c r="J273" s="255"/>
    </row>
    <row r="274" spans="1:10" ht="15" customHeight="1" x14ac:dyDescent="0.2">
      <c r="A274" s="586" t="s">
        <v>406</v>
      </c>
      <c r="B274" s="587"/>
      <c r="C274" s="587"/>
      <c r="D274" s="587"/>
      <c r="E274" s="588"/>
      <c r="F274" s="262"/>
      <c r="G274" s="255"/>
      <c r="H274" s="255"/>
      <c r="I274" s="255"/>
      <c r="J274" s="255"/>
    </row>
    <row r="275" spans="1:10" ht="15" customHeight="1" x14ac:dyDescent="0.2">
      <c r="A275" s="434" t="s">
        <v>407</v>
      </c>
      <c r="B275" s="443" t="s">
        <v>408</v>
      </c>
      <c r="C275" s="412">
        <v>0</v>
      </c>
      <c r="D275" s="267">
        <v>282310</v>
      </c>
      <c r="E275" s="369">
        <v>0</v>
      </c>
      <c r="F275" s="262"/>
      <c r="G275" s="255"/>
      <c r="H275" s="255"/>
      <c r="I275" s="255"/>
      <c r="J275" s="255"/>
    </row>
    <row r="276" spans="1:10" ht="15" customHeight="1" x14ac:dyDescent="0.2">
      <c r="A276" s="435" t="s">
        <v>409</v>
      </c>
      <c r="B276" s="431" t="s">
        <v>410</v>
      </c>
      <c r="C276" s="380">
        <v>0</v>
      </c>
      <c r="D276" s="270">
        <v>164590</v>
      </c>
      <c r="E276" s="345">
        <v>0</v>
      </c>
      <c r="F276" s="262"/>
      <c r="G276" s="255"/>
      <c r="H276" s="255"/>
      <c r="I276" s="255"/>
      <c r="J276" s="255"/>
    </row>
    <row r="277" spans="1:10" ht="15" customHeight="1" x14ac:dyDescent="0.2">
      <c r="A277" s="435" t="s">
        <v>411</v>
      </c>
      <c r="B277" s="431" t="s">
        <v>412</v>
      </c>
      <c r="C277" s="380">
        <v>0</v>
      </c>
      <c r="D277" s="270">
        <v>397700</v>
      </c>
      <c r="E277" s="345">
        <v>0</v>
      </c>
      <c r="F277" s="262"/>
      <c r="G277" s="255"/>
      <c r="H277" s="255"/>
      <c r="I277" s="255"/>
      <c r="J277" s="255"/>
    </row>
    <row r="278" spans="1:10" ht="15" customHeight="1" x14ac:dyDescent="0.2">
      <c r="A278" s="435" t="s">
        <v>413</v>
      </c>
      <c r="B278" s="431" t="s">
        <v>414</v>
      </c>
      <c r="C278" s="380">
        <v>0</v>
      </c>
      <c r="D278" s="270">
        <v>412140</v>
      </c>
      <c r="E278" s="345">
        <v>0</v>
      </c>
      <c r="F278" s="262"/>
      <c r="G278" s="255"/>
      <c r="H278" s="255"/>
      <c r="I278" s="255"/>
      <c r="J278" s="255"/>
    </row>
    <row r="279" spans="1:10" ht="15" customHeight="1" x14ac:dyDescent="0.2">
      <c r="A279" s="436" t="s">
        <v>415</v>
      </c>
      <c r="B279" s="444" t="s">
        <v>416</v>
      </c>
      <c r="C279" s="395">
        <v>0</v>
      </c>
      <c r="D279" s="277">
        <v>257530</v>
      </c>
      <c r="E279" s="350">
        <v>0</v>
      </c>
      <c r="F279" s="370"/>
      <c r="G279" s="255"/>
      <c r="H279" s="255"/>
      <c r="I279" s="255"/>
      <c r="J279" s="255"/>
    </row>
    <row r="280" spans="1:10" ht="15" customHeight="1" x14ac:dyDescent="0.2">
      <c r="A280" s="447" t="s">
        <v>417</v>
      </c>
      <c r="B280" s="445" t="s">
        <v>418</v>
      </c>
      <c r="C280" s="413">
        <v>94</v>
      </c>
      <c r="D280" s="371">
        <v>35020</v>
      </c>
      <c r="E280" s="367">
        <v>3291880</v>
      </c>
      <c r="F280" s="370"/>
      <c r="G280" s="255"/>
      <c r="H280" s="255"/>
      <c r="I280" s="255"/>
      <c r="J280" s="255"/>
    </row>
    <row r="281" spans="1:10" ht="15" customHeight="1" x14ac:dyDescent="0.2">
      <c r="A281" s="442"/>
      <c r="B281" s="446" t="s">
        <v>419</v>
      </c>
      <c r="C281" s="279">
        <v>94</v>
      </c>
      <c r="D281" s="348"/>
      <c r="E281" s="349">
        <v>3291880</v>
      </c>
      <c r="F281" s="370"/>
      <c r="G281" s="255"/>
      <c r="H281" s="255"/>
      <c r="I281" s="255"/>
      <c r="J281" s="255"/>
    </row>
    <row r="282" spans="1:10" ht="18" customHeight="1" x14ac:dyDescent="0.2">
      <c r="A282" s="362"/>
      <c r="B282" s="262"/>
      <c r="C282" s="262"/>
      <c r="D282" s="362"/>
      <c r="E282" s="362"/>
      <c r="F282" s="262"/>
      <c r="G282" s="255"/>
      <c r="H282" s="255"/>
      <c r="I282" s="255"/>
      <c r="J282" s="255"/>
    </row>
    <row r="283" spans="1:10" ht="18" customHeight="1" x14ac:dyDescent="0.2">
      <c r="A283" s="362"/>
      <c r="B283" s="364"/>
      <c r="C283" s="364"/>
      <c r="D283" s="362"/>
      <c r="E283" s="362"/>
      <c r="F283" s="372"/>
      <c r="G283" s="373"/>
      <c r="H283" s="255"/>
      <c r="I283" s="255"/>
      <c r="J283" s="374"/>
    </row>
    <row r="284" spans="1:10" ht="12.75" customHeight="1" x14ac:dyDescent="0.2">
      <c r="A284" s="591" t="s">
        <v>420</v>
      </c>
      <c r="B284" s="592"/>
      <c r="C284" s="592"/>
      <c r="D284" s="592"/>
      <c r="E284" s="593"/>
      <c r="F284" s="262"/>
      <c r="G284" s="255"/>
      <c r="H284" s="255"/>
      <c r="I284" s="255"/>
      <c r="J284" s="255"/>
    </row>
    <row r="285" spans="1:10" ht="44.25" customHeight="1" x14ac:dyDescent="0.2">
      <c r="A285" s="264" t="s">
        <v>8</v>
      </c>
      <c r="B285" s="264" t="s">
        <v>420</v>
      </c>
      <c r="C285" s="265" t="s">
        <v>341</v>
      </c>
      <c r="D285" s="310" t="s">
        <v>11</v>
      </c>
      <c r="E285" s="266" t="s">
        <v>12</v>
      </c>
      <c r="F285" s="370"/>
      <c r="G285" s="255"/>
      <c r="H285" s="255"/>
      <c r="I285" s="255"/>
      <c r="J285" s="255"/>
    </row>
    <row r="286" spans="1:10" ht="15" customHeight="1" x14ac:dyDescent="0.2">
      <c r="A286" s="434" t="s">
        <v>421</v>
      </c>
      <c r="B286" s="438" t="s">
        <v>422</v>
      </c>
      <c r="C286" s="383">
        <v>6</v>
      </c>
      <c r="D286" s="275">
        <v>6890</v>
      </c>
      <c r="E286" s="344">
        <v>41340</v>
      </c>
      <c r="F286" s="262"/>
      <c r="G286" s="255"/>
      <c r="H286" s="255"/>
      <c r="I286" s="255"/>
      <c r="J286" s="255"/>
    </row>
    <row r="287" spans="1:10" ht="15" customHeight="1" x14ac:dyDescent="0.2">
      <c r="A287" s="435" t="s">
        <v>423</v>
      </c>
      <c r="B287" s="439" t="s">
        <v>424</v>
      </c>
      <c r="C287" s="380">
        <v>0</v>
      </c>
      <c r="D287" s="270">
        <v>3670</v>
      </c>
      <c r="E287" s="345">
        <v>0</v>
      </c>
      <c r="F287" s="262"/>
      <c r="G287" s="255"/>
      <c r="H287" s="255"/>
      <c r="I287" s="255"/>
      <c r="J287" s="255"/>
    </row>
    <row r="288" spans="1:10" ht="15" customHeight="1" x14ac:dyDescent="0.2">
      <c r="A288" s="435" t="s">
        <v>425</v>
      </c>
      <c r="B288" s="439" t="s">
        <v>426</v>
      </c>
      <c r="C288" s="380">
        <v>1</v>
      </c>
      <c r="D288" s="270">
        <v>13830</v>
      </c>
      <c r="E288" s="345">
        <v>13830</v>
      </c>
      <c r="F288" s="262"/>
      <c r="G288" s="255"/>
      <c r="H288" s="255"/>
      <c r="I288" s="255"/>
      <c r="J288" s="255"/>
    </row>
    <row r="289" spans="1:7" ht="15" customHeight="1" x14ac:dyDescent="0.2">
      <c r="A289" s="435" t="s">
        <v>427</v>
      </c>
      <c r="B289" s="439" t="s">
        <v>428</v>
      </c>
      <c r="C289" s="380">
        <v>0</v>
      </c>
      <c r="D289" s="270">
        <v>141790</v>
      </c>
      <c r="E289" s="345">
        <v>0</v>
      </c>
      <c r="F289" s="262"/>
      <c r="G289" s="255"/>
    </row>
    <row r="290" spans="1:7" ht="15" customHeight="1" x14ac:dyDescent="0.2">
      <c r="A290" s="436" t="s">
        <v>429</v>
      </c>
      <c r="B290" s="440" t="s">
        <v>430</v>
      </c>
      <c r="C290" s="395">
        <v>1</v>
      </c>
      <c r="D290" s="277">
        <v>778770</v>
      </c>
      <c r="E290" s="350">
        <v>778770</v>
      </c>
      <c r="F290" s="262"/>
      <c r="G290" s="255"/>
    </row>
    <row r="291" spans="1:7" ht="15" customHeight="1" x14ac:dyDescent="0.2">
      <c r="A291" s="442"/>
      <c r="B291" s="441" t="s">
        <v>431</v>
      </c>
      <c r="C291" s="316">
        <v>8</v>
      </c>
      <c r="D291" s="288"/>
      <c r="E291" s="317">
        <v>833940</v>
      </c>
      <c r="F291" s="262"/>
      <c r="G291" s="255"/>
    </row>
    <row r="292" spans="1:7" ht="18" customHeight="1" x14ac:dyDescent="0.2">
      <c r="A292" s="362"/>
      <c r="B292" s="364"/>
      <c r="C292" s="362"/>
      <c r="D292" s="362"/>
      <c r="E292" s="362"/>
      <c r="F292" s="262"/>
      <c r="G292" s="255"/>
    </row>
    <row r="293" spans="1:7" ht="18" customHeight="1" x14ac:dyDescent="0.2">
      <c r="A293" s="362"/>
      <c r="B293" s="364"/>
      <c r="C293" s="362"/>
      <c r="D293" s="362"/>
      <c r="E293" s="362"/>
      <c r="F293" s="375"/>
      <c r="G293" s="263"/>
    </row>
    <row r="294" spans="1:7" ht="12.75" customHeight="1" x14ac:dyDescent="0.2">
      <c r="A294" s="586" t="s">
        <v>432</v>
      </c>
      <c r="B294" s="587"/>
      <c r="C294" s="587"/>
      <c r="D294" s="587"/>
      <c r="E294" s="588"/>
      <c r="F294" s="376"/>
      <c r="G294" s="263"/>
    </row>
    <row r="295" spans="1:7" ht="42.75" customHeight="1" x14ac:dyDescent="0.2">
      <c r="A295" s="264" t="s">
        <v>8</v>
      </c>
      <c r="B295" s="407" t="s">
        <v>432</v>
      </c>
      <c r="C295" s="408" t="s">
        <v>433</v>
      </c>
      <c r="D295" s="310" t="s">
        <v>11</v>
      </c>
      <c r="E295" s="266" t="s">
        <v>12</v>
      </c>
      <c r="F295" s="376"/>
      <c r="G295" s="263"/>
    </row>
    <row r="296" spans="1:7" ht="15" customHeight="1" x14ac:dyDescent="0.2">
      <c r="A296" s="434" t="s">
        <v>434</v>
      </c>
      <c r="B296" s="429" t="s">
        <v>435</v>
      </c>
      <c r="C296" s="383">
        <v>221</v>
      </c>
      <c r="D296" s="275">
        <v>18430</v>
      </c>
      <c r="E296" s="344">
        <v>4073030</v>
      </c>
      <c r="F296" s="262"/>
      <c r="G296" s="255"/>
    </row>
    <row r="297" spans="1:7" ht="15" customHeight="1" x14ac:dyDescent="0.2">
      <c r="A297" s="435" t="s">
        <v>436</v>
      </c>
      <c r="B297" s="430" t="s">
        <v>437</v>
      </c>
      <c r="C297" s="380">
        <v>184</v>
      </c>
      <c r="D297" s="270">
        <v>57970</v>
      </c>
      <c r="E297" s="345">
        <v>10666480</v>
      </c>
      <c r="F297" s="262"/>
      <c r="G297" s="255"/>
    </row>
    <row r="298" spans="1:7" ht="15" customHeight="1" x14ac:dyDescent="0.2">
      <c r="A298" s="435" t="s">
        <v>438</v>
      </c>
      <c r="B298" s="430" t="s">
        <v>439</v>
      </c>
      <c r="C298" s="380">
        <v>0</v>
      </c>
      <c r="D298" s="270">
        <v>71860</v>
      </c>
      <c r="E298" s="345">
        <v>0</v>
      </c>
      <c r="F298" s="262"/>
      <c r="G298" s="255"/>
    </row>
    <row r="299" spans="1:7" ht="15" customHeight="1" x14ac:dyDescent="0.2">
      <c r="A299" s="435" t="s">
        <v>440</v>
      </c>
      <c r="B299" s="430" t="s">
        <v>441</v>
      </c>
      <c r="C299" s="380">
        <v>194</v>
      </c>
      <c r="D299" s="270">
        <v>2520</v>
      </c>
      <c r="E299" s="345">
        <v>488880</v>
      </c>
      <c r="F299" s="262"/>
      <c r="G299" s="255"/>
    </row>
    <row r="300" spans="1:7" ht="15" customHeight="1" x14ac:dyDescent="0.2">
      <c r="A300" s="435" t="s">
        <v>442</v>
      </c>
      <c r="B300" s="430" t="s">
        <v>443</v>
      </c>
      <c r="C300" s="380">
        <v>0</v>
      </c>
      <c r="D300" s="270">
        <v>70</v>
      </c>
      <c r="E300" s="345">
        <v>0</v>
      </c>
      <c r="F300" s="262"/>
      <c r="G300" s="255"/>
    </row>
    <row r="301" spans="1:7" ht="15" customHeight="1" x14ac:dyDescent="0.2">
      <c r="A301" s="435" t="s">
        <v>444</v>
      </c>
      <c r="B301" s="431" t="s">
        <v>445</v>
      </c>
      <c r="C301" s="380">
        <v>0</v>
      </c>
      <c r="D301" s="270">
        <v>152560</v>
      </c>
      <c r="E301" s="345">
        <v>0</v>
      </c>
      <c r="F301" s="262"/>
      <c r="G301" s="255"/>
    </row>
    <row r="302" spans="1:7" ht="15" customHeight="1" x14ac:dyDescent="0.2">
      <c r="A302" s="436" t="s">
        <v>446</v>
      </c>
      <c r="B302" s="432" t="s">
        <v>447</v>
      </c>
      <c r="C302" s="395">
        <v>0</v>
      </c>
      <c r="D302" s="277">
        <v>10370</v>
      </c>
      <c r="E302" s="350">
        <v>0</v>
      </c>
      <c r="F302" s="262"/>
      <c r="G302" s="255"/>
    </row>
    <row r="303" spans="1:7" ht="15" customHeight="1" x14ac:dyDescent="0.2">
      <c r="A303" s="437"/>
      <c r="B303" s="603" t="s">
        <v>448</v>
      </c>
      <c r="C303" s="604"/>
      <c r="D303" s="366"/>
      <c r="E303" s="377">
        <v>15228390</v>
      </c>
      <c r="F303" s="262"/>
      <c r="G303" s="255"/>
    </row>
    <row r="304" spans="1:7" ht="12.75" x14ac:dyDescent="0.2">
      <c r="A304" s="262"/>
      <c r="B304" s="262"/>
      <c r="C304" s="262"/>
      <c r="D304" s="262"/>
      <c r="E304" s="262"/>
      <c r="F304" s="359"/>
      <c r="G304" s="361"/>
    </row>
    <row r="305" spans="1:7" ht="12.75" x14ac:dyDescent="0.2">
      <c r="A305" s="262"/>
      <c r="B305" s="262"/>
      <c r="C305" s="262"/>
      <c r="D305" s="262"/>
      <c r="E305" s="262"/>
      <c r="F305" s="359"/>
      <c r="G305" s="361"/>
    </row>
    <row r="306" spans="1:7" ht="12.75" customHeight="1" x14ac:dyDescent="0.2">
      <c r="A306" s="597" t="s">
        <v>449</v>
      </c>
      <c r="B306" s="598"/>
      <c r="C306" s="598"/>
      <c r="D306" s="598"/>
      <c r="E306" s="599"/>
      <c r="F306" s="359"/>
      <c r="G306" s="361"/>
    </row>
    <row r="307" spans="1:7" ht="12.75" x14ac:dyDescent="0.2">
      <c r="A307" s="307"/>
      <c r="B307" s="600" t="s">
        <v>450</v>
      </c>
      <c r="C307" s="601"/>
      <c r="D307" s="602"/>
      <c r="E307" s="378">
        <v>30001880</v>
      </c>
      <c r="F307" s="262"/>
      <c r="G307" s="255"/>
    </row>
    <row r="308" spans="1:7" ht="12.75" x14ac:dyDescent="0.2">
      <c r="A308" s="262"/>
      <c r="B308" s="262"/>
      <c r="C308" s="262"/>
      <c r="D308" s="262"/>
      <c r="E308" s="262"/>
      <c r="F308" s="359"/>
      <c r="G308" s="361"/>
    </row>
    <row r="309" spans="1:7" ht="12.75" x14ac:dyDescent="0.2">
      <c r="A309" s="262"/>
      <c r="B309" s="262"/>
      <c r="C309" s="262"/>
      <c r="D309" s="262"/>
      <c r="E309" s="262"/>
      <c r="F309" s="359"/>
      <c r="G309" s="361"/>
    </row>
    <row r="310" spans="1:7" ht="12.75" customHeight="1" x14ac:dyDescent="0.2">
      <c r="A310" s="597" t="s">
        <v>451</v>
      </c>
      <c r="B310" s="598"/>
      <c r="C310" s="598"/>
      <c r="D310" s="598"/>
      <c r="E310" s="599"/>
      <c r="F310" s="359"/>
      <c r="G310" s="361"/>
    </row>
    <row r="311" spans="1:7" ht="25.5" customHeight="1" x14ac:dyDescent="0.2">
      <c r="A311" s="586" t="s">
        <v>452</v>
      </c>
      <c r="B311" s="587"/>
      <c r="C311" s="587"/>
      <c r="D311" s="588"/>
      <c r="E311" s="264" t="s">
        <v>12</v>
      </c>
      <c r="F311" s="359"/>
      <c r="G311" s="361"/>
    </row>
    <row r="312" spans="1:7" ht="15" customHeight="1" x14ac:dyDescent="0.2">
      <c r="A312" s="307"/>
      <c r="B312" s="600" t="s">
        <v>453</v>
      </c>
      <c r="C312" s="601"/>
      <c r="D312" s="602"/>
      <c r="E312" s="378">
        <v>728128085</v>
      </c>
      <c r="F312" s="359"/>
      <c r="G312" s="361"/>
    </row>
    <row r="313" spans="1:7" ht="18" customHeight="1" x14ac:dyDescent="0.2">
      <c r="A313" s="262"/>
      <c r="B313" s="262"/>
      <c r="C313" s="262"/>
      <c r="D313" s="262"/>
      <c r="E313" s="262"/>
      <c r="F313" s="259"/>
      <c r="G313" s="255"/>
    </row>
    <row r="314" spans="1:7" ht="18" customHeight="1" x14ac:dyDescent="0.2">
      <c r="A314" s="262"/>
      <c r="B314" s="262"/>
      <c r="C314" s="262"/>
      <c r="D314" s="262"/>
      <c r="E314" s="262"/>
      <c r="F314" s="259"/>
      <c r="G314" s="255"/>
    </row>
    <row r="315" spans="1:7" ht="18" customHeight="1" x14ac:dyDescent="0.2">
      <c r="A315" s="597" t="s">
        <v>454</v>
      </c>
      <c r="B315" s="598"/>
      <c r="C315" s="599"/>
      <c r="D315" s="262"/>
      <c r="E315" s="262"/>
      <c r="F315" s="259"/>
      <c r="G315" s="255"/>
    </row>
    <row r="316" spans="1:7" ht="18" customHeight="1" x14ac:dyDescent="0.2">
      <c r="A316" s="586" t="s">
        <v>455</v>
      </c>
      <c r="B316" s="587"/>
      <c r="C316" s="588"/>
      <c r="D316" s="262"/>
      <c r="E316" s="262"/>
      <c r="F316" s="259"/>
      <c r="G316" s="255"/>
    </row>
    <row r="317" spans="1:7" ht="30.75" customHeight="1" x14ac:dyDescent="0.2">
      <c r="A317" s="597" t="s">
        <v>456</v>
      </c>
      <c r="B317" s="598"/>
      <c r="C317" s="264" t="s">
        <v>457</v>
      </c>
      <c r="D317" s="262"/>
      <c r="E317" s="262"/>
      <c r="F317" s="262"/>
      <c r="G317" s="255"/>
    </row>
    <row r="318" spans="1:7" ht="15" customHeight="1" x14ac:dyDescent="0.2">
      <c r="A318" s="379" t="s">
        <v>458</v>
      </c>
      <c r="B318" s="397"/>
      <c r="C318" s="403"/>
      <c r="D318" s="262"/>
      <c r="E318" s="262"/>
      <c r="F318" s="262"/>
      <c r="G318" s="255"/>
    </row>
    <row r="319" spans="1:7" ht="15" customHeight="1" x14ac:dyDescent="0.2">
      <c r="A319" s="380" t="s">
        <v>459</v>
      </c>
      <c r="B319" s="398"/>
      <c r="C319" s="404"/>
      <c r="D319" s="262"/>
      <c r="E319" s="262"/>
      <c r="F319" s="262"/>
      <c r="G319" s="255"/>
    </row>
    <row r="320" spans="1:7" ht="15" customHeight="1" x14ac:dyDescent="0.2">
      <c r="A320" s="380" t="s">
        <v>460</v>
      </c>
      <c r="B320" s="398"/>
      <c r="C320" s="404"/>
      <c r="D320" s="262"/>
      <c r="E320" s="262"/>
      <c r="F320" s="262"/>
      <c r="G320" s="255"/>
    </row>
    <row r="321" spans="1:6" ht="15" customHeight="1" x14ac:dyDescent="0.2">
      <c r="A321" s="381" t="s">
        <v>461</v>
      </c>
      <c r="B321" s="398"/>
      <c r="C321" s="404"/>
      <c r="D321" s="262"/>
      <c r="E321" s="262"/>
      <c r="F321" s="262"/>
    </row>
    <row r="322" spans="1:6" ht="15" customHeight="1" x14ac:dyDescent="0.2">
      <c r="A322" s="382" t="s">
        <v>462</v>
      </c>
      <c r="B322" s="399"/>
      <c r="C322" s="405">
        <v>0</v>
      </c>
      <c r="D322" s="262"/>
      <c r="E322" s="262"/>
      <c r="F322" s="262"/>
    </row>
    <row r="323" spans="1:6" ht="15" customHeight="1" x14ac:dyDescent="0.2">
      <c r="A323" s="383" t="s">
        <v>463</v>
      </c>
      <c r="B323" s="400"/>
      <c r="C323" s="403">
        <v>6153439</v>
      </c>
      <c r="D323" s="262"/>
      <c r="E323" s="262"/>
      <c r="F323" s="262"/>
    </row>
    <row r="324" spans="1:6" ht="15" customHeight="1" x14ac:dyDescent="0.2">
      <c r="A324" s="384" t="s">
        <v>464</v>
      </c>
      <c r="B324" s="401"/>
      <c r="C324" s="404"/>
      <c r="D324" s="262"/>
      <c r="E324" s="262"/>
      <c r="F324" s="262"/>
    </row>
    <row r="325" spans="1:6" ht="15" customHeight="1" x14ac:dyDescent="0.2">
      <c r="A325" s="380" t="s">
        <v>465</v>
      </c>
      <c r="B325" s="401"/>
      <c r="C325" s="404"/>
      <c r="D325" s="262"/>
      <c r="E325" s="262"/>
      <c r="F325" s="262"/>
    </row>
    <row r="326" spans="1:6" ht="15" customHeight="1" x14ac:dyDescent="0.2">
      <c r="A326" s="380" t="s">
        <v>466</v>
      </c>
      <c r="B326" s="401"/>
      <c r="C326" s="404"/>
      <c r="D326" s="262"/>
      <c r="E326" s="262"/>
      <c r="F326" s="262"/>
    </row>
    <row r="327" spans="1:6" ht="15" customHeight="1" x14ac:dyDescent="0.2">
      <c r="A327" s="384" t="s">
        <v>467</v>
      </c>
      <c r="B327" s="401"/>
      <c r="C327" s="404"/>
      <c r="D327" s="262"/>
      <c r="E327" s="262"/>
      <c r="F327" s="262"/>
    </row>
    <row r="328" spans="1:6" ht="15" customHeight="1" x14ac:dyDescent="0.2">
      <c r="A328" s="384" t="s">
        <v>468</v>
      </c>
      <c r="B328" s="401"/>
      <c r="C328" s="404"/>
      <c r="D328" s="262"/>
      <c r="E328" s="262"/>
      <c r="F328" s="262"/>
    </row>
    <row r="329" spans="1:6" ht="15" customHeight="1" x14ac:dyDescent="0.2">
      <c r="A329" s="385" t="s">
        <v>469</v>
      </c>
      <c r="B329" s="402"/>
      <c r="C329" s="406">
        <v>101375484</v>
      </c>
      <c r="D329" s="262"/>
      <c r="E329" s="262"/>
      <c r="F329" s="262"/>
    </row>
    <row r="330" spans="1:6" ht="15" customHeight="1" x14ac:dyDescent="0.2">
      <c r="A330" s="279"/>
      <c r="B330" s="396" t="s">
        <v>470</v>
      </c>
      <c r="C330" s="354">
        <v>107528923</v>
      </c>
      <c r="D330" s="262"/>
      <c r="E330" s="262"/>
      <c r="F330" s="262"/>
    </row>
    <row r="331" spans="1:6" ht="12.75" x14ac:dyDescent="0.2">
      <c r="A331" s="262"/>
      <c r="B331" s="262"/>
      <c r="C331" s="262"/>
      <c r="D331" s="262"/>
      <c r="E331" s="262"/>
      <c r="F331" s="259"/>
    </row>
    <row r="332" spans="1:6" ht="12.75" x14ac:dyDescent="0.2">
      <c r="A332" s="262"/>
      <c r="B332" s="262"/>
      <c r="C332" s="262"/>
      <c r="D332" s="262"/>
      <c r="E332" s="262"/>
      <c r="F332" s="259"/>
    </row>
    <row r="333" spans="1:6" ht="12.75" x14ac:dyDescent="0.2">
      <c r="A333" s="262"/>
      <c r="B333" s="262"/>
      <c r="C333" s="262"/>
      <c r="D333" s="262"/>
      <c r="E333" s="262"/>
      <c r="F333" s="259"/>
    </row>
    <row r="334" spans="1:6" ht="12.75" x14ac:dyDescent="0.2">
      <c r="A334" s="362"/>
      <c r="B334" s="362"/>
      <c r="C334" s="362"/>
      <c r="D334" s="362"/>
      <c r="E334" s="362"/>
      <c r="F334" s="375"/>
    </row>
    <row r="335" spans="1:6" ht="12.75" x14ac:dyDescent="0.2">
      <c r="A335" s="362"/>
      <c r="B335" s="362"/>
      <c r="C335" s="362"/>
      <c r="D335" s="362"/>
      <c r="E335" s="610" t="s">
        <v>477</v>
      </c>
      <c r="F335" s="610"/>
    </row>
    <row r="336" spans="1:6" ht="12.75" customHeight="1" x14ac:dyDescent="0.2">
      <c r="A336" s="362"/>
      <c r="B336" s="362"/>
      <c r="C336" s="362"/>
      <c r="D336" s="364"/>
      <c r="E336" s="609" t="s">
        <v>478</v>
      </c>
      <c r="F336" s="609"/>
    </row>
    <row r="337" spans="1:6" ht="12.75" x14ac:dyDescent="0.2">
      <c r="A337" s="362"/>
      <c r="B337" s="362"/>
      <c r="C337" s="362"/>
      <c r="D337" s="362"/>
      <c r="E337" s="386"/>
      <c r="F337" s="387"/>
    </row>
    <row r="338" spans="1:6" ht="12.75" x14ac:dyDescent="0.2">
      <c r="A338" s="362"/>
      <c r="B338" s="362"/>
      <c r="C338" s="362"/>
      <c r="D338" s="362"/>
      <c r="E338" s="387"/>
      <c r="F338" s="387"/>
    </row>
    <row r="339" spans="1:6" ht="12.75" x14ac:dyDescent="0.2">
      <c r="A339" s="362"/>
      <c r="B339" s="362"/>
      <c r="C339" s="362"/>
      <c r="D339" s="362"/>
      <c r="E339" s="387"/>
      <c r="F339" s="387"/>
    </row>
    <row r="340" spans="1:6" ht="12.75" x14ac:dyDescent="0.2">
      <c r="A340" s="362"/>
      <c r="B340" s="362"/>
      <c r="C340" s="362"/>
      <c r="D340" s="362"/>
      <c r="E340" s="387"/>
      <c r="F340" s="387"/>
    </row>
    <row r="341" spans="1:6" ht="12.75" x14ac:dyDescent="0.2">
      <c r="A341" s="362"/>
      <c r="B341" s="362"/>
      <c r="C341" s="362"/>
      <c r="D341" s="362"/>
      <c r="E341" s="387"/>
      <c r="F341" s="387"/>
    </row>
    <row r="342" spans="1:6" ht="12.75" x14ac:dyDescent="0.2">
      <c r="A342" s="362"/>
      <c r="B342" s="362"/>
      <c r="C342" s="362"/>
      <c r="D342" s="362"/>
      <c r="E342" s="387"/>
      <c r="F342" s="387"/>
    </row>
    <row r="343" spans="1:6" ht="12.75" x14ac:dyDescent="0.2">
      <c r="A343" s="362"/>
      <c r="B343" s="362"/>
      <c r="C343" s="362"/>
      <c r="D343" s="362"/>
      <c r="E343" s="387"/>
      <c r="F343" s="387"/>
    </row>
    <row r="344" spans="1:6" ht="12.75" x14ac:dyDescent="0.2">
      <c r="A344" s="362"/>
      <c r="B344" s="362"/>
      <c r="C344" s="362"/>
      <c r="D344" s="362"/>
      <c r="E344" s="610" t="s">
        <v>479</v>
      </c>
      <c r="F344" s="610"/>
    </row>
    <row r="345" spans="1:6" ht="22.5" customHeight="1" x14ac:dyDescent="0.2">
      <c r="A345" s="362"/>
      <c r="B345" s="362"/>
      <c r="C345" s="362"/>
      <c r="D345" s="375"/>
      <c r="E345" s="609" t="s">
        <v>480</v>
      </c>
      <c r="F345" s="609"/>
    </row>
    <row r="346" spans="1:6" ht="12.75" x14ac:dyDescent="0.2">
      <c r="A346" s="362"/>
      <c r="B346" s="362"/>
      <c r="C346" s="362"/>
      <c r="D346" s="388"/>
      <c r="E346" s="362"/>
      <c r="F346" s="375"/>
    </row>
  </sheetData>
  <mergeCells count="49">
    <mergeCell ref="A46:E46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207:E207"/>
    <mergeCell ref="A158:E158"/>
    <mergeCell ref="A87:F87"/>
    <mergeCell ref="A88:A89"/>
    <mergeCell ref="B88:B89"/>
    <mergeCell ref="A112:E112"/>
    <mergeCell ref="A119:C119"/>
    <mergeCell ref="C88:F88"/>
    <mergeCell ref="A124:E124"/>
    <mergeCell ref="A151:E151"/>
    <mergeCell ref="A171:E171"/>
    <mergeCell ref="A306:E306"/>
    <mergeCell ref="B307:D307"/>
    <mergeCell ref="A294:E294"/>
    <mergeCell ref="B303:C303"/>
    <mergeCell ref="A228:E228"/>
    <mergeCell ref="A239:E239"/>
    <mergeCell ref="A235:E235"/>
    <mergeCell ref="A274:E274"/>
    <mergeCell ref="A284:E284"/>
    <mergeCell ref="A255:E255"/>
    <mergeCell ref="A221:C221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C5:E5"/>
    <mergeCell ref="A13:E13"/>
    <mergeCell ref="A38:E38"/>
    <mergeCell ref="A41:E4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0" zoomScaleNormal="70" workbookViewId="0">
      <selection activeCell="B31" sqref="B31"/>
    </sheetView>
  </sheetViews>
  <sheetFormatPr baseColWidth="10" defaultRowHeight="10.5" x14ac:dyDescent="0.15"/>
  <cols>
    <col min="1" max="1" width="20.28515625" style="501" customWidth="1"/>
    <col min="2" max="2" width="83.140625" style="501" customWidth="1"/>
    <col min="3" max="5" width="21.42578125" style="501" customWidth="1"/>
    <col min="6" max="6" width="19.5703125" style="502" customWidth="1"/>
    <col min="7" max="7" width="2.42578125" style="501" customWidth="1"/>
    <col min="8" max="9" width="5.140625" style="501" customWidth="1"/>
    <col min="10" max="256" width="11.42578125" style="501"/>
    <col min="257" max="257" width="20.28515625" style="501" customWidth="1"/>
    <col min="258" max="258" width="83.140625" style="501" customWidth="1"/>
    <col min="259" max="261" width="21.42578125" style="501" customWidth="1"/>
    <col min="262" max="262" width="19.5703125" style="501" customWidth="1"/>
    <col min="263" max="263" width="2.42578125" style="501" customWidth="1"/>
    <col min="264" max="265" width="5.140625" style="501" customWidth="1"/>
    <col min="266" max="512" width="11.42578125" style="501"/>
    <col min="513" max="513" width="20.28515625" style="501" customWidth="1"/>
    <col min="514" max="514" width="83.140625" style="501" customWidth="1"/>
    <col min="515" max="517" width="21.42578125" style="501" customWidth="1"/>
    <col min="518" max="518" width="19.5703125" style="501" customWidth="1"/>
    <col min="519" max="519" width="2.42578125" style="501" customWidth="1"/>
    <col min="520" max="521" width="5.140625" style="501" customWidth="1"/>
    <col min="522" max="768" width="11.42578125" style="501"/>
    <col min="769" max="769" width="20.28515625" style="501" customWidth="1"/>
    <col min="770" max="770" width="83.140625" style="501" customWidth="1"/>
    <col min="771" max="773" width="21.42578125" style="501" customWidth="1"/>
    <col min="774" max="774" width="19.5703125" style="501" customWidth="1"/>
    <col min="775" max="775" width="2.42578125" style="501" customWidth="1"/>
    <col min="776" max="777" width="5.140625" style="501" customWidth="1"/>
    <col min="778" max="1024" width="11.42578125" style="501"/>
    <col min="1025" max="1025" width="20.28515625" style="501" customWidth="1"/>
    <col min="1026" max="1026" width="83.140625" style="501" customWidth="1"/>
    <col min="1027" max="1029" width="21.42578125" style="501" customWidth="1"/>
    <col min="1030" max="1030" width="19.5703125" style="501" customWidth="1"/>
    <col min="1031" max="1031" width="2.42578125" style="501" customWidth="1"/>
    <col min="1032" max="1033" width="5.140625" style="501" customWidth="1"/>
    <col min="1034" max="1280" width="11.42578125" style="501"/>
    <col min="1281" max="1281" width="20.28515625" style="501" customWidth="1"/>
    <col min="1282" max="1282" width="83.140625" style="501" customWidth="1"/>
    <col min="1283" max="1285" width="21.42578125" style="501" customWidth="1"/>
    <col min="1286" max="1286" width="19.5703125" style="501" customWidth="1"/>
    <col min="1287" max="1287" width="2.42578125" style="501" customWidth="1"/>
    <col min="1288" max="1289" width="5.140625" style="501" customWidth="1"/>
    <col min="1290" max="1536" width="11.42578125" style="501"/>
    <col min="1537" max="1537" width="20.28515625" style="501" customWidth="1"/>
    <col min="1538" max="1538" width="83.140625" style="501" customWidth="1"/>
    <col min="1539" max="1541" width="21.42578125" style="501" customWidth="1"/>
    <col min="1542" max="1542" width="19.5703125" style="501" customWidth="1"/>
    <col min="1543" max="1543" width="2.42578125" style="501" customWidth="1"/>
    <col min="1544" max="1545" width="5.140625" style="501" customWidth="1"/>
    <col min="1546" max="1792" width="11.42578125" style="501"/>
    <col min="1793" max="1793" width="20.28515625" style="501" customWidth="1"/>
    <col min="1794" max="1794" width="83.140625" style="501" customWidth="1"/>
    <col min="1795" max="1797" width="21.42578125" style="501" customWidth="1"/>
    <col min="1798" max="1798" width="19.5703125" style="501" customWidth="1"/>
    <col min="1799" max="1799" width="2.42578125" style="501" customWidth="1"/>
    <col min="1800" max="1801" width="5.140625" style="501" customWidth="1"/>
    <col min="1802" max="2048" width="11.42578125" style="501"/>
    <col min="2049" max="2049" width="20.28515625" style="501" customWidth="1"/>
    <col min="2050" max="2050" width="83.140625" style="501" customWidth="1"/>
    <col min="2051" max="2053" width="21.42578125" style="501" customWidth="1"/>
    <col min="2054" max="2054" width="19.5703125" style="501" customWidth="1"/>
    <col min="2055" max="2055" width="2.42578125" style="501" customWidth="1"/>
    <col min="2056" max="2057" width="5.140625" style="501" customWidth="1"/>
    <col min="2058" max="2304" width="11.42578125" style="501"/>
    <col min="2305" max="2305" width="20.28515625" style="501" customWidth="1"/>
    <col min="2306" max="2306" width="83.140625" style="501" customWidth="1"/>
    <col min="2307" max="2309" width="21.42578125" style="501" customWidth="1"/>
    <col min="2310" max="2310" width="19.5703125" style="501" customWidth="1"/>
    <col min="2311" max="2311" width="2.42578125" style="501" customWidth="1"/>
    <col min="2312" max="2313" width="5.140625" style="501" customWidth="1"/>
    <col min="2314" max="2560" width="11.42578125" style="501"/>
    <col min="2561" max="2561" width="20.28515625" style="501" customWidth="1"/>
    <col min="2562" max="2562" width="83.140625" style="501" customWidth="1"/>
    <col min="2563" max="2565" width="21.42578125" style="501" customWidth="1"/>
    <col min="2566" max="2566" width="19.5703125" style="501" customWidth="1"/>
    <col min="2567" max="2567" width="2.42578125" style="501" customWidth="1"/>
    <col min="2568" max="2569" width="5.140625" style="501" customWidth="1"/>
    <col min="2570" max="2816" width="11.42578125" style="501"/>
    <col min="2817" max="2817" width="20.28515625" style="501" customWidth="1"/>
    <col min="2818" max="2818" width="83.140625" style="501" customWidth="1"/>
    <col min="2819" max="2821" width="21.42578125" style="501" customWidth="1"/>
    <col min="2822" max="2822" width="19.5703125" style="501" customWidth="1"/>
    <col min="2823" max="2823" width="2.42578125" style="501" customWidth="1"/>
    <col min="2824" max="2825" width="5.140625" style="501" customWidth="1"/>
    <col min="2826" max="3072" width="11.42578125" style="501"/>
    <col min="3073" max="3073" width="20.28515625" style="501" customWidth="1"/>
    <col min="3074" max="3074" width="83.140625" style="501" customWidth="1"/>
    <col min="3075" max="3077" width="21.42578125" style="501" customWidth="1"/>
    <col min="3078" max="3078" width="19.5703125" style="501" customWidth="1"/>
    <col min="3079" max="3079" width="2.42578125" style="501" customWidth="1"/>
    <col min="3080" max="3081" width="5.140625" style="501" customWidth="1"/>
    <col min="3082" max="3328" width="11.42578125" style="501"/>
    <col min="3329" max="3329" width="20.28515625" style="501" customWidth="1"/>
    <col min="3330" max="3330" width="83.140625" style="501" customWidth="1"/>
    <col min="3331" max="3333" width="21.42578125" style="501" customWidth="1"/>
    <col min="3334" max="3334" width="19.5703125" style="501" customWidth="1"/>
    <col min="3335" max="3335" width="2.42578125" style="501" customWidth="1"/>
    <col min="3336" max="3337" width="5.140625" style="501" customWidth="1"/>
    <col min="3338" max="3584" width="11.42578125" style="501"/>
    <col min="3585" max="3585" width="20.28515625" style="501" customWidth="1"/>
    <col min="3586" max="3586" width="83.140625" style="501" customWidth="1"/>
    <col min="3587" max="3589" width="21.42578125" style="501" customWidth="1"/>
    <col min="3590" max="3590" width="19.5703125" style="501" customWidth="1"/>
    <col min="3591" max="3591" width="2.42578125" style="501" customWidth="1"/>
    <col min="3592" max="3593" width="5.140625" style="501" customWidth="1"/>
    <col min="3594" max="3840" width="11.42578125" style="501"/>
    <col min="3841" max="3841" width="20.28515625" style="501" customWidth="1"/>
    <col min="3842" max="3842" width="83.140625" style="501" customWidth="1"/>
    <col min="3843" max="3845" width="21.42578125" style="501" customWidth="1"/>
    <col min="3846" max="3846" width="19.5703125" style="501" customWidth="1"/>
    <col min="3847" max="3847" width="2.42578125" style="501" customWidth="1"/>
    <col min="3848" max="3849" width="5.140625" style="501" customWidth="1"/>
    <col min="3850" max="4096" width="11.42578125" style="501"/>
    <col min="4097" max="4097" width="20.28515625" style="501" customWidth="1"/>
    <col min="4098" max="4098" width="83.140625" style="501" customWidth="1"/>
    <col min="4099" max="4101" width="21.42578125" style="501" customWidth="1"/>
    <col min="4102" max="4102" width="19.5703125" style="501" customWidth="1"/>
    <col min="4103" max="4103" width="2.42578125" style="501" customWidth="1"/>
    <col min="4104" max="4105" width="5.140625" style="501" customWidth="1"/>
    <col min="4106" max="4352" width="11.42578125" style="501"/>
    <col min="4353" max="4353" width="20.28515625" style="501" customWidth="1"/>
    <col min="4354" max="4354" width="83.140625" style="501" customWidth="1"/>
    <col min="4355" max="4357" width="21.42578125" style="501" customWidth="1"/>
    <col min="4358" max="4358" width="19.5703125" style="501" customWidth="1"/>
    <col min="4359" max="4359" width="2.42578125" style="501" customWidth="1"/>
    <col min="4360" max="4361" width="5.140625" style="501" customWidth="1"/>
    <col min="4362" max="4608" width="11.42578125" style="501"/>
    <col min="4609" max="4609" width="20.28515625" style="501" customWidth="1"/>
    <col min="4610" max="4610" width="83.140625" style="501" customWidth="1"/>
    <col min="4611" max="4613" width="21.42578125" style="501" customWidth="1"/>
    <col min="4614" max="4614" width="19.5703125" style="501" customWidth="1"/>
    <col min="4615" max="4615" width="2.42578125" style="501" customWidth="1"/>
    <col min="4616" max="4617" width="5.140625" style="501" customWidth="1"/>
    <col min="4618" max="4864" width="11.42578125" style="501"/>
    <col min="4865" max="4865" width="20.28515625" style="501" customWidth="1"/>
    <col min="4866" max="4866" width="83.140625" style="501" customWidth="1"/>
    <col min="4867" max="4869" width="21.42578125" style="501" customWidth="1"/>
    <col min="4870" max="4870" width="19.5703125" style="501" customWidth="1"/>
    <col min="4871" max="4871" width="2.42578125" style="501" customWidth="1"/>
    <col min="4872" max="4873" width="5.140625" style="501" customWidth="1"/>
    <col min="4874" max="5120" width="11.42578125" style="501"/>
    <col min="5121" max="5121" width="20.28515625" style="501" customWidth="1"/>
    <col min="5122" max="5122" width="83.140625" style="501" customWidth="1"/>
    <col min="5123" max="5125" width="21.42578125" style="501" customWidth="1"/>
    <col min="5126" max="5126" width="19.5703125" style="501" customWidth="1"/>
    <col min="5127" max="5127" width="2.42578125" style="501" customWidth="1"/>
    <col min="5128" max="5129" width="5.140625" style="501" customWidth="1"/>
    <col min="5130" max="5376" width="11.42578125" style="501"/>
    <col min="5377" max="5377" width="20.28515625" style="501" customWidth="1"/>
    <col min="5378" max="5378" width="83.140625" style="501" customWidth="1"/>
    <col min="5379" max="5381" width="21.42578125" style="501" customWidth="1"/>
    <col min="5382" max="5382" width="19.5703125" style="501" customWidth="1"/>
    <col min="5383" max="5383" width="2.42578125" style="501" customWidth="1"/>
    <col min="5384" max="5385" width="5.140625" style="501" customWidth="1"/>
    <col min="5386" max="5632" width="11.42578125" style="501"/>
    <col min="5633" max="5633" width="20.28515625" style="501" customWidth="1"/>
    <col min="5634" max="5634" width="83.140625" style="501" customWidth="1"/>
    <col min="5635" max="5637" width="21.42578125" style="501" customWidth="1"/>
    <col min="5638" max="5638" width="19.5703125" style="501" customWidth="1"/>
    <col min="5639" max="5639" width="2.42578125" style="501" customWidth="1"/>
    <col min="5640" max="5641" width="5.140625" style="501" customWidth="1"/>
    <col min="5642" max="5888" width="11.42578125" style="501"/>
    <col min="5889" max="5889" width="20.28515625" style="501" customWidth="1"/>
    <col min="5890" max="5890" width="83.140625" style="501" customWidth="1"/>
    <col min="5891" max="5893" width="21.42578125" style="501" customWidth="1"/>
    <col min="5894" max="5894" width="19.5703125" style="501" customWidth="1"/>
    <col min="5895" max="5895" width="2.42578125" style="501" customWidth="1"/>
    <col min="5896" max="5897" width="5.140625" style="501" customWidth="1"/>
    <col min="5898" max="6144" width="11.42578125" style="501"/>
    <col min="6145" max="6145" width="20.28515625" style="501" customWidth="1"/>
    <col min="6146" max="6146" width="83.140625" style="501" customWidth="1"/>
    <col min="6147" max="6149" width="21.42578125" style="501" customWidth="1"/>
    <col min="6150" max="6150" width="19.5703125" style="501" customWidth="1"/>
    <col min="6151" max="6151" width="2.42578125" style="501" customWidth="1"/>
    <col min="6152" max="6153" width="5.140625" style="501" customWidth="1"/>
    <col min="6154" max="6400" width="11.42578125" style="501"/>
    <col min="6401" max="6401" width="20.28515625" style="501" customWidth="1"/>
    <col min="6402" max="6402" width="83.140625" style="501" customWidth="1"/>
    <col min="6403" max="6405" width="21.42578125" style="501" customWidth="1"/>
    <col min="6406" max="6406" width="19.5703125" style="501" customWidth="1"/>
    <col min="6407" max="6407" width="2.42578125" style="501" customWidth="1"/>
    <col min="6408" max="6409" width="5.140625" style="501" customWidth="1"/>
    <col min="6410" max="6656" width="11.42578125" style="501"/>
    <col min="6657" max="6657" width="20.28515625" style="501" customWidth="1"/>
    <col min="6658" max="6658" width="83.140625" style="501" customWidth="1"/>
    <col min="6659" max="6661" width="21.42578125" style="501" customWidth="1"/>
    <col min="6662" max="6662" width="19.5703125" style="501" customWidth="1"/>
    <col min="6663" max="6663" width="2.42578125" style="501" customWidth="1"/>
    <col min="6664" max="6665" width="5.140625" style="501" customWidth="1"/>
    <col min="6666" max="6912" width="11.42578125" style="501"/>
    <col min="6913" max="6913" width="20.28515625" style="501" customWidth="1"/>
    <col min="6914" max="6914" width="83.140625" style="501" customWidth="1"/>
    <col min="6915" max="6917" width="21.42578125" style="501" customWidth="1"/>
    <col min="6918" max="6918" width="19.5703125" style="501" customWidth="1"/>
    <col min="6919" max="6919" width="2.42578125" style="501" customWidth="1"/>
    <col min="6920" max="6921" width="5.140625" style="501" customWidth="1"/>
    <col min="6922" max="7168" width="11.42578125" style="501"/>
    <col min="7169" max="7169" width="20.28515625" style="501" customWidth="1"/>
    <col min="7170" max="7170" width="83.140625" style="501" customWidth="1"/>
    <col min="7171" max="7173" width="21.42578125" style="501" customWidth="1"/>
    <col min="7174" max="7174" width="19.5703125" style="501" customWidth="1"/>
    <col min="7175" max="7175" width="2.42578125" style="501" customWidth="1"/>
    <col min="7176" max="7177" width="5.140625" style="501" customWidth="1"/>
    <col min="7178" max="7424" width="11.42578125" style="501"/>
    <col min="7425" max="7425" width="20.28515625" style="501" customWidth="1"/>
    <col min="7426" max="7426" width="83.140625" style="501" customWidth="1"/>
    <col min="7427" max="7429" width="21.42578125" style="501" customWidth="1"/>
    <col min="7430" max="7430" width="19.5703125" style="501" customWidth="1"/>
    <col min="7431" max="7431" width="2.42578125" style="501" customWidth="1"/>
    <col min="7432" max="7433" width="5.140625" style="501" customWidth="1"/>
    <col min="7434" max="7680" width="11.42578125" style="501"/>
    <col min="7681" max="7681" width="20.28515625" style="501" customWidth="1"/>
    <col min="7682" max="7682" width="83.140625" style="501" customWidth="1"/>
    <col min="7683" max="7685" width="21.42578125" style="501" customWidth="1"/>
    <col min="7686" max="7686" width="19.5703125" style="501" customWidth="1"/>
    <col min="7687" max="7687" width="2.42578125" style="501" customWidth="1"/>
    <col min="7688" max="7689" width="5.140625" style="501" customWidth="1"/>
    <col min="7690" max="7936" width="11.42578125" style="501"/>
    <col min="7937" max="7937" width="20.28515625" style="501" customWidth="1"/>
    <col min="7938" max="7938" width="83.140625" style="501" customWidth="1"/>
    <col min="7939" max="7941" width="21.42578125" style="501" customWidth="1"/>
    <col min="7942" max="7942" width="19.5703125" style="501" customWidth="1"/>
    <col min="7943" max="7943" width="2.42578125" style="501" customWidth="1"/>
    <col min="7944" max="7945" width="5.140625" style="501" customWidth="1"/>
    <col min="7946" max="8192" width="11.42578125" style="501"/>
    <col min="8193" max="8193" width="20.28515625" style="501" customWidth="1"/>
    <col min="8194" max="8194" width="83.140625" style="501" customWidth="1"/>
    <col min="8195" max="8197" width="21.42578125" style="501" customWidth="1"/>
    <col min="8198" max="8198" width="19.5703125" style="501" customWidth="1"/>
    <col min="8199" max="8199" width="2.42578125" style="501" customWidth="1"/>
    <col min="8200" max="8201" width="5.140625" style="501" customWidth="1"/>
    <col min="8202" max="8448" width="11.42578125" style="501"/>
    <col min="8449" max="8449" width="20.28515625" style="501" customWidth="1"/>
    <col min="8450" max="8450" width="83.140625" style="501" customWidth="1"/>
    <col min="8451" max="8453" width="21.42578125" style="501" customWidth="1"/>
    <col min="8454" max="8454" width="19.5703125" style="501" customWidth="1"/>
    <col min="8455" max="8455" width="2.42578125" style="501" customWidth="1"/>
    <col min="8456" max="8457" width="5.140625" style="501" customWidth="1"/>
    <col min="8458" max="8704" width="11.42578125" style="501"/>
    <col min="8705" max="8705" width="20.28515625" style="501" customWidth="1"/>
    <col min="8706" max="8706" width="83.140625" style="501" customWidth="1"/>
    <col min="8707" max="8709" width="21.42578125" style="501" customWidth="1"/>
    <col min="8710" max="8710" width="19.5703125" style="501" customWidth="1"/>
    <col min="8711" max="8711" width="2.42578125" style="501" customWidth="1"/>
    <col min="8712" max="8713" width="5.140625" style="501" customWidth="1"/>
    <col min="8714" max="8960" width="11.42578125" style="501"/>
    <col min="8961" max="8961" width="20.28515625" style="501" customWidth="1"/>
    <col min="8962" max="8962" width="83.140625" style="501" customWidth="1"/>
    <col min="8963" max="8965" width="21.42578125" style="501" customWidth="1"/>
    <col min="8966" max="8966" width="19.5703125" style="501" customWidth="1"/>
    <col min="8967" max="8967" width="2.42578125" style="501" customWidth="1"/>
    <col min="8968" max="8969" width="5.140625" style="501" customWidth="1"/>
    <col min="8970" max="9216" width="11.42578125" style="501"/>
    <col min="9217" max="9217" width="20.28515625" style="501" customWidth="1"/>
    <col min="9218" max="9218" width="83.140625" style="501" customWidth="1"/>
    <col min="9219" max="9221" width="21.42578125" style="501" customWidth="1"/>
    <col min="9222" max="9222" width="19.5703125" style="501" customWidth="1"/>
    <col min="9223" max="9223" width="2.42578125" style="501" customWidth="1"/>
    <col min="9224" max="9225" width="5.140625" style="501" customWidth="1"/>
    <col min="9226" max="9472" width="11.42578125" style="501"/>
    <col min="9473" max="9473" width="20.28515625" style="501" customWidth="1"/>
    <col min="9474" max="9474" width="83.140625" style="501" customWidth="1"/>
    <col min="9475" max="9477" width="21.42578125" style="501" customWidth="1"/>
    <col min="9478" max="9478" width="19.5703125" style="501" customWidth="1"/>
    <col min="9479" max="9479" width="2.42578125" style="501" customWidth="1"/>
    <col min="9480" max="9481" width="5.140625" style="501" customWidth="1"/>
    <col min="9482" max="9728" width="11.42578125" style="501"/>
    <col min="9729" max="9729" width="20.28515625" style="501" customWidth="1"/>
    <col min="9730" max="9730" width="83.140625" style="501" customWidth="1"/>
    <col min="9731" max="9733" width="21.42578125" style="501" customWidth="1"/>
    <col min="9734" max="9734" width="19.5703125" style="501" customWidth="1"/>
    <col min="9735" max="9735" width="2.42578125" style="501" customWidth="1"/>
    <col min="9736" max="9737" width="5.140625" style="501" customWidth="1"/>
    <col min="9738" max="9984" width="11.42578125" style="501"/>
    <col min="9985" max="9985" width="20.28515625" style="501" customWidth="1"/>
    <col min="9986" max="9986" width="83.140625" style="501" customWidth="1"/>
    <col min="9987" max="9989" width="21.42578125" style="501" customWidth="1"/>
    <col min="9990" max="9990" width="19.5703125" style="501" customWidth="1"/>
    <col min="9991" max="9991" width="2.42578125" style="501" customWidth="1"/>
    <col min="9992" max="9993" width="5.140625" style="501" customWidth="1"/>
    <col min="9994" max="10240" width="11.42578125" style="501"/>
    <col min="10241" max="10241" width="20.28515625" style="501" customWidth="1"/>
    <col min="10242" max="10242" width="83.140625" style="501" customWidth="1"/>
    <col min="10243" max="10245" width="21.42578125" style="501" customWidth="1"/>
    <col min="10246" max="10246" width="19.5703125" style="501" customWidth="1"/>
    <col min="10247" max="10247" width="2.42578125" style="501" customWidth="1"/>
    <col min="10248" max="10249" width="5.140625" style="501" customWidth="1"/>
    <col min="10250" max="10496" width="11.42578125" style="501"/>
    <col min="10497" max="10497" width="20.28515625" style="501" customWidth="1"/>
    <col min="10498" max="10498" width="83.140625" style="501" customWidth="1"/>
    <col min="10499" max="10501" width="21.42578125" style="501" customWidth="1"/>
    <col min="10502" max="10502" width="19.5703125" style="501" customWidth="1"/>
    <col min="10503" max="10503" width="2.42578125" style="501" customWidth="1"/>
    <col min="10504" max="10505" width="5.140625" style="501" customWidth="1"/>
    <col min="10506" max="10752" width="11.42578125" style="501"/>
    <col min="10753" max="10753" width="20.28515625" style="501" customWidth="1"/>
    <col min="10754" max="10754" width="83.140625" style="501" customWidth="1"/>
    <col min="10755" max="10757" width="21.42578125" style="501" customWidth="1"/>
    <col min="10758" max="10758" width="19.5703125" style="501" customWidth="1"/>
    <col min="10759" max="10759" width="2.42578125" style="501" customWidth="1"/>
    <col min="10760" max="10761" width="5.140625" style="501" customWidth="1"/>
    <col min="10762" max="11008" width="11.42578125" style="501"/>
    <col min="11009" max="11009" width="20.28515625" style="501" customWidth="1"/>
    <col min="11010" max="11010" width="83.140625" style="501" customWidth="1"/>
    <col min="11011" max="11013" width="21.42578125" style="501" customWidth="1"/>
    <col min="11014" max="11014" width="19.5703125" style="501" customWidth="1"/>
    <col min="11015" max="11015" width="2.42578125" style="501" customWidth="1"/>
    <col min="11016" max="11017" width="5.140625" style="501" customWidth="1"/>
    <col min="11018" max="11264" width="11.42578125" style="501"/>
    <col min="11265" max="11265" width="20.28515625" style="501" customWidth="1"/>
    <col min="11266" max="11266" width="83.140625" style="501" customWidth="1"/>
    <col min="11267" max="11269" width="21.42578125" style="501" customWidth="1"/>
    <col min="11270" max="11270" width="19.5703125" style="501" customWidth="1"/>
    <col min="11271" max="11271" width="2.42578125" style="501" customWidth="1"/>
    <col min="11272" max="11273" width="5.140625" style="501" customWidth="1"/>
    <col min="11274" max="11520" width="11.42578125" style="501"/>
    <col min="11521" max="11521" width="20.28515625" style="501" customWidth="1"/>
    <col min="11522" max="11522" width="83.140625" style="501" customWidth="1"/>
    <col min="11523" max="11525" width="21.42578125" style="501" customWidth="1"/>
    <col min="11526" max="11526" width="19.5703125" style="501" customWidth="1"/>
    <col min="11527" max="11527" width="2.42578125" style="501" customWidth="1"/>
    <col min="11528" max="11529" width="5.140625" style="501" customWidth="1"/>
    <col min="11530" max="11776" width="11.42578125" style="501"/>
    <col min="11777" max="11777" width="20.28515625" style="501" customWidth="1"/>
    <col min="11778" max="11778" width="83.140625" style="501" customWidth="1"/>
    <col min="11779" max="11781" width="21.42578125" style="501" customWidth="1"/>
    <col min="11782" max="11782" width="19.5703125" style="501" customWidth="1"/>
    <col min="11783" max="11783" width="2.42578125" style="501" customWidth="1"/>
    <col min="11784" max="11785" width="5.140625" style="501" customWidth="1"/>
    <col min="11786" max="12032" width="11.42578125" style="501"/>
    <col min="12033" max="12033" width="20.28515625" style="501" customWidth="1"/>
    <col min="12034" max="12034" width="83.140625" style="501" customWidth="1"/>
    <col min="12035" max="12037" width="21.42578125" style="501" customWidth="1"/>
    <col min="12038" max="12038" width="19.5703125" style="501" customWidth="1"/>
    <col min="12039" max="12039" width="2.42578125" style="501" customWidth="1"/>
    <col min="12040" max="12041" width="5.140625" style="501" customWidth="1"/>
    <col min="12042" max="12288" width="11.42578125" style="501"/>
    <col min="12289" max="12289" width="20.28515625" style="501" customWidth="1"/>
    <col min="12290" max="12290" width="83.140625" style="501" customWidth="1"/>
    <col min="12291" max="12293" width="21.42578125" style="501" customWidth="1"/>
    <col min="12294" max="12294" width="19.5703125" style="501" customWidth="1"/>
    <col min="12295" max="12295" width="2.42578125" style="501" customWidth="1"/>
    <col min="12296" max="12297" width="5.140625" style="501" customWidth="1"/>
    <col min="12298" max="12544" width="11.42578125" style="501"/>
    <col min="12545" max="12545" width="20.28515625" style="501" customWidth="1"/>
    <col min="12546" max="12546" width="83.140625" style="501" customWidth="1"/>
    <col min="12547" max="12549" width="21.42578125" style="501" customWidth="1"/>
    <col min="12550" max="12550" width="19.5703125" style="501" customWidth="1"/>
    <col min="12551" max="12551" width="2.42578125" style="501" customWidth="1"/>
    <col min="12552" max="12553" width="5.140625" style="501" customWidth="1"/>
    <col min="12554" max="12800" width="11.42578125" style="501"/>
    <col min="12801" max="12801" width="20.28515625" style="501" customWidth="1"/>
    <col min="12802" max="12802" width="83.140625" style="501" customWidth="1"/>
    <col min="12803" max="12805" width="21.42578125" style="501" customWidth="1"/>
    <col min="12806" max="12806" width="19.5703125" style="501" customWidth="1"/>
    <col min="12807" max="12807" width="2.42578125" style="501" customWidth="1"/>
    <col min="12808" max="12809" width="5.140625" style="501" customWidth="1"/>
    <col min="12810" max="13056" width="11.42578125" style="501"/>
    <col min="13057" max="13057" width="20.28515625" style="501" customWidth="1"/>
    <col min="13058" max="13058" width="83.140625" style="501" customWidth="1"/>
    <col min="13059" max="13061" width="21.42578125" style="501" customWidth="1"/>
    <col min="13062" max="13062" width="19.5703125" style="501" customWidth="1"/>
    <col min="13063" max="13063" width="2.42578125" style="501" customWidth="1"/>
    <col min="13064" max="13065" width="5.140625" style="501" customWidth="1"/>
    <col min="13066" max="13312" width="11.42578125" style="501"/>
    <col min="13313" max="13313" width="20.28515625" style="501" customWidth="1"/>
    <col min="13314" max="13314" width="83.140625" style="501" customWidth="1"/>
    <col min="13315" max="13317" width="21.42578125" style="501" customWidth="1"/>
    <col min="13318" max="13318" width="19.5703125" style="501" customWidth="1"/>
    <col min="13319" max="13319" width="2.42578125" style="501" customWidth="1"/>
    <col min="13320" max="13321" width="5.140625" style="501" customWidth="1"/>
    <col min="13322" max="13568" width="11.42578125" style="501"/>
    <col min="13569" max="13569" width="20.28515625" style="501" customWidth="1"/>
    <col min="13570" max="13570" width="83.140625" style="501" customWidth="1"/>
    <col min="13571" max="13573" width="21.42578125" style="501" customWidth="1"/>
    <col min="13574" max="13574" width="19.5703125" style="501" customWidth="1"/>
    <col min="13575" max="13575" width="2.42578125" style="501" customWidth="1"/>
    <col min="13576" max="13577" width="5.140625" style="501" customWidth="1"/>
    <col min="13578" max="13824" width="11.42578125" style="501"/>
    <col min="13825" max="13825" width="20.28515625" style="501" customWidth="1"/>
    <col min="13826" max="13826" width="83.140625" style="501" customWidth="1"/>
    <col min="13827" max="13829" width="21.42578125" style="501" customWidth="1"/>
    <col min="13830" max="13830" width="19.5703125" style="501" customWidth="1"/>
    <col min="13831" max="13831" width="2.42578125" style="501" customWidth="1"/>
    <col min="13832" max="13833" width="5.140625" style="501" customWidth="1"/>
    <col min="13834" max="14080" width="11.42578125" style="501"/>
    <col min="14081" max="14081" width="20.28515625" style="501" customWidth="1"/>
    <col min="14082" max="14082" width="83.140625" style="501" customWidth="1"/>
    <col min="14083" max="14085" width="21.42578125" style="501" customWidth="1"/>
    <col min="14086" max="14086" width="19.5703125" style="501" customWidth="1"/>
    <col min="14087" max="14087" width="2.42578125" style="501" customWidth="1"/>
    <col min="14088" max="14089" width="5.140625" style="501" customWidth="1"/>
    <col min="14090" max="14336" width="11.42578125" style="501"/>
    <col min="14337" max="14337" width="20.28515625" style="501" customWidth="1"/>
    <col min="14338" max="14338" width="83.140625" style="501" customWidth="1"/>
    <col min="14339" max="14341" width="21.42578125" style="501" customWidth="1"/>
    <col min="14342" max="14342" width="19.5703125" style="501" customWidth="1"/>
    <col min="14343" max="14343" width="2.42578125" style="501" customWidth="1"/>
    <col min="14344" max="14345" width="5.140625" style="501" customWidth="1"/>
    <col min="14346" max="14592" width="11.42578125" style="501"/>
    <col min="14593" max="14593" width="20.28515625" style="501" customWidth="1"/>
    <col min="14594" max="14594" width="83.140625" style="501" customWidth="1"/>
    <col min="14595" max="14597" width="21.42578125" style="501" customWidth="1"/>
    <col min="14598" max="14598" width="19.5703125" style="501" customWidth="1"/>
    <col min="14599" max="14599" width="2.42578125" style="501" customWidth="1"/>
    <col min="14600" max="14601" width="5.140625" style="501" customWidth="1"/>
    <col min="14602" max="14848" width="11.42578125" style="501"/>
    <col min="14849" max="14849" width="20.28515625" style="501" customWidth="1"/>
    <col min="14850" max="14850" width="83.140625" style="501" customWidth="1"/>
    <col min="14851" max="14853" width="21.42578125" style="501" customWidth="1"/>
    <col min="14854" max="14854" width="19.5703125" style="501" customWidth="1"/>
    <col min="14855" max="14855" width="2.42578125" style="501" customWidth="1"/>
    <col min="14856" max="14857" width="5.140625" style="501" customWidth="1"/>
    <col min="14858" max="15104" width="11.42578125" style="501"/>
    <col min="15105" max="15105" width="20.28515625" style="501" customWidth="1"/>
    <col min="15106" max="15106" width="83.140625" style="501" customWidth="1"/>
    <col min="15107" max="15109" width="21.42578125" style="501" customWidth="1"/>
    <col min="15110" max="15110" width="19.5703125" style="501" customWidth="1"/>
    <col min="15111" max="15111" width="2.42578125" style="501" customWidth="1"/>
    <col min="15112" max="15113" width="5.140625" style="501" customWidth="1"/>
    <col min="15114" max="15360" width="11.42578125" style="501"/>
    <col min="15361" max="15361" width="20.28515625" style="501" customWidth="1"/>
    <col min="15362" max="15362" width="83.140625" style="501" customWidth="1"/>
    <col min="15363" max="15365" width="21.42578125" style="501" customWidth="1"/>
    <col min="15366" max="15366" width="19.5703125" style="501" customWidth="1"/>
    <col min="15367" max="15367" width="2.42578125" style="501" customWidth="1"/>
    <col min="15368" max="15369" width="5.140625" style="501" customWidth="1"/>
    <col min="15370" max="15616" width="11.42578125" style="501"/>
    <col min="15617" max="15617" width="20.28515625" style="501" customWidth="1"/>
    <col min="15618" max="15618" width="83.140625" style="501" customWidth="1"/>
    <col min="15619" max="15621" width="21.42578125" style="501" customWidth="1"/>
    <col min="15622" max="15622" width="19.5703125" style="501" customWidth="1"/>
    <col min="15623" max="15623" width="2.42578125" style="501" customWidth="1"/>
    <col min="15624" max="15625" width="5.140625" style="501" customWidth="1"/>
    <col min="15626" max="15872" width="11.42578125" style="501"/>
    <col min="15873" max="15873" width="20.28515625" style="501" customWidth="1"/>
    <col min="15874" max="15874" width="83.140625" style="501" customWidth="1"/>
    <col min="15875" max="15877" width="21.42578125" style="501" customWidth="1"/>
    <col min="15878" max="15878" width="19.5703125" style="501" customWidth="1"/>
    <col min="15879" max="15879" width="2.42578125" style="501" customWidth="1"/>
    <col min="15880" max="15881" width="5.140625" style="501" customWidth="1"/>
    <col min="15882" max="16128" width="11.42578125" style="501"/>
    <col min="16129" max="16129" width="20.28515625" style="501" customWidth="1"/>
    <col min="16130" max="16130" width="83.140625" style="501" customWidth="1"/>
    <col min="16131" max="16133" width="21.42578125" style="501" customWidth="1"/>
    <col min="16134" max="16134" width="19.5703125" style="501" customWidth="1"/>
    <col min="16135" max="16135" width="2.42578125" style="501" customWidth="1"/>
    <col min="16136" max="16137" width="5.140625" style="501" customWidth="1"/>
    <col min="16138" max="16384" width="11.42578125" style="501"/>
  </cols>
  <sheetData>
    <row r="1" spans="1:7" ht="12.75" x14ac:dyDescent="0.2">
      <c r="A1" s="256" t="s">
        <v>0</v>
      </c>
      <c r="B1" s="257"/>
      <c r="C1" s="577" t="s">
        <v>1</v>
      </c>
      <c r="D1" s="578"/>
      <c r="E1" s="579"/>
      <c r="F1" s="258"/>
    </row>
    <row r="2" spans="1:7" ht="12.75" x14ac:dyDescent="0.2">
      <c r="A2" s="256" t="str">
        <f>CONCATENATE("COMUNA: ",[6]NOMBRE!B2," - ","( ",[6]NOMBRE!C2,[6]NOMBRE!D2,[6]NOMBRE!E2,[6]NOMBRE!F2,[6]NOMBRE!G2," )")</f>
        <v>COMUNA: LINARES  - ( 07401 )</v>
      </c>
      <c r="B2" s="257"/>
      <c r="C2" s="580"/>
      <c r="D2" s="581"/>
      <c r="E2" s="582"/>
      <c r="F2" s="259"/>
      <c r="G2" s="260"/>
    </row>
    <row r="3" spans="1:7" ht="12.75" x14ac:dyDescent="0.2">
      <c r="A3" s="256" t="str">
        <f>CONCATENATE("ESTABLECIMIENTO/ESTRATEGIA: ",[6]NOMBRE!B3," - ","( ",[6]NOMBRE!C3,[6]NOMBRE!D3,[6]NOMBRE!E3,[6]NOMBRE!F3,[6]NOMBRE!G3,[6]NOMBRE!H3," )")</f>
        <v>ESTABLECIMIENTO/ESTRATEGIA: HOSPITAL DE LINARES  - ( 116108 )</v>
      </c>
      <c r="B3" s="257"/>
      <c r="C3" s="577" t="s">
        <v>2</v>
      </c>
      <c r="D3" s="578"/>
      <c r="E3" s="579"/>
      <c r="F3" s="259"/>
      <c r="G3" s="261"/>
    </row>
    <row r="4" spans="1:7" ht="12.75" x14ac:dyDescent="0.2">
      <c r="A4" s="256" t="str">
        <f>CONCATENATE("MES: ",[6]NOMBRE!B6," - ","( ",[6]NOMBRE!C6,[6]NOMBRE!D6," )")</f>
        <v>MES: JUNIO - ( 06 )</v>
      </c>
      <c r="B4" s="257"/>
      <c r="C4" s="580" t="str">
        <f>CONCATENATE([6]NOMBRE!B6," ","( ",[6]NOMBRE!C6,[6]NOMBRE!D6," )")</f>
        <v>JUNIO ( 06 )</v>
      </c>
      <c r="D4" s="581"/>
      <c r="E4" s="582"/>
      <c r="F4" s="259"/>
      <c r="G4" s="261"/>
    </row>
    <row r="5" spans="1:7" ht="12.75" x14ac:dyDescent="0.2">
      <c r="A5" s="256" t="str">
        <f>CONCATENATE("AÑO: ",[6]NOMBRE!B7)</f>
        <v>AÑO: 2014</v>
      </c>
      <c r="B5" s="257"/>
      <c r="C5" s="577" t="s">
        <v>3</v>
      </c>
      <c r="D5" s="578"/>
      <c r="E5" s="579"/>
      <c r="F5" s="259"/>
      <c r="G5" s="261"/>
    </row>
    <row r="6" spans="1:7" ht="12.75" x14ac:dyDescent="0.2">
      <c r="A6" s="262"/>
      <c r="B6" s="262"/>
      <c r="C6" s="580">
        <f>[6]NOMBRE!B7</f>
        <v>2014</v>
      </c>
      <c r="D6" s="581"/>
      <c r="E6" s="582"/>
      <c r="F6" s="259"/>
      <c r="G6" s="261"/>
    </row>
    <row r="7" spans="1:7" ht="15" x14ac:dyDescent="0.2">
      <c r="A7" s="589" t="s">
        <v>4</v>
      </c>
      <c r="B7" s="590"/>
      <c r="C7" s="594" t="s">
        <v>5</v>
      </c>
      <c r="D7" s="595"/>
      <c r="E7" s="596"/>
      <c r="F7" s="259"/>
      <c r="G7" s="261"/>
    </row>
    <row r="8" spans="1:7" ht="15" x14ac:dyDescent="0.2">
      <c r="A8" s="262"/>
      <c r="B8" s="490" t="s">
        <v>6</v>
      </c>
      <c r="C8" s="580" t="str">
        <f>CONCATENATE([6]NOMBRE!B3," ","( ",[6]NOMBRE!C3,[6]NOMBRE!D3,[6]NOMBRE!E3,[6]NOMBRE!F3,[6]NOMBRE!G3," )")</f>
        <v>HOSPITAL DE LINARES  ( 11610 )</v>
      </c>
      <c r="D8" s="581"/>
      <c r="E8" s="582"/>
      <c r="F8" s="259"/>
      <c r="G8" s="261"/>
    </row>
    <row r="9" spans="1:7" ht="12.75" x14ac:dyDescent="0.2">
      <c r="A9" s="262"/>
      <c r="B9" s="262"/>
      <c r="C9" s="262"/>
      <c r="D9" s="262"/>
      <c r="E9" s="262"/>
      <c r="F9" s="259"/>
      <c r="G9" s="261"/>
    </row>
    <row r="10" spans="1:7" ht="12.75" x14ac:dyDescent="0.2">
      <c r="A10" s="262"/>
      <c r="B10" s="262"/>
      <c r="C10" s="262"/>
      <c r="D10" s="262"/>
      <c r="E10" s="262"/>
      <c r="F10" s="259"/>
      <c r="G10" s="263"/>
    </row>
    <row r="11" spans="1:7" ht="12.75" x14ac:dyDescent="0.2">
      <c r="A11" s="583" t="s">
        <v>7</v>
      </c>
      <c r="B11" s="584"/>
      <c r="C11" s="584"/>
      <c r="D11" s="584"/>
      <c r="E11" s="585"/>
      <c r="F11" s="259"/>
    </row>
    <row r="12" spans="1:7" ht="43.5" customHeight="1" x14ac:dyDescent="0.2">
      <c r="A12" s="264" t="s">
        <v>8</v>
      </c>
      <c r="B12" s="264" t="s">
        <v>9</v>
      </c>
      <c r="C12" s="487" t="s">
        <v>10</v>
      </c>
      <c r="D12" s="310" t="s">
        <v>11</v>
      </c>
      <c r="E12" s="489" t="s">
        <v>12</v>
      </c>
      <c r="F12" s="262"/>
    </row>
    <row r="13" spans="1:7" ht="12.75" customHeight="1" x14ac:dyDescent="0.2">
      <c r="A13" s="586" t="s">
        <v>13</v>
      </c>
      <c r="B13" s="587"/>
      <c r="C13" s="587"/>
      <c r="D13" s="587"/>
      <c r="E13" s="588"/>
      <c r="F13" s="262"/>
    </row>
    <row r="14" spans="1:7" ht="15" customHeight="1" x14ac:dyDescent="0.2">
      <c r="A14" s="434" t="s">
        <v>14</v>
      </c>
      <c r="B14" s="443" t="s">
        <v>15</v>
      </c>
      <c r="C14" s="380">
        <f>[6]BS17A!$D13</f>
        <v>0</v>
      </c>
      <c r="D14" s="267">
        <f>[6]BS17A!$U13</f>
        <v>4170</v>
      </c>
      <c r="E14" s="268">
        <f>[6]BS17A!$V13</f>
        <v>0</v>
      </c>
      <c r="F14" s="262"/>
    </row>
    <row r="15" spans="1:7" ht="15" customHeight="1" x14ac:dyDescent="0.2">
      <c r="A15" s="435" t="s">
        <v>16</v>
      </c>
      <c r="B15" s="431" t="s">
        <v>17</v>
      </c>
      <c r="C15" s="380">
        <f>[6]BS17A!$D14</f>
        <v>0</v>
      </c>
      <c r="D15" s="270">
        <f>[6]BS17A!$U14</f>
        <v>5240</v>
      </c>
      <c r="E15" s="271">
        <f>[6]BS17A!$V14</f>
        <v>0</v>
      </c>
      <c r="F15" s="262"/>
    </row>
    <row r="16" spans="1:7" ht="15" customHeight="1" x14ac:dyDescent="0.2">
      <c r="A16" s="435" t="s">
        <v>18</v>
      </c>
      <c r="B16" s="431" t="s">
        <v>19</v>
      </c>
      <c r="C16" s="380">
        <f>[6]BS17A!$D15</f>
        <v>6422</v>
      </c>
      <c r="D16" s="270">
        <f>[6]BS17A!$U15</f>
        <v>11250</v>
      </c>
      <c r="E16" s="271">
        <f>[6]BS17A!$V15</f>
        <v>72247500</v>
      </c>
      <c r="F16" s="262"/>
    </row>
    <row r="17" spans="1:6" ht="15" customHeight="1" x14ac:dyDescent="0.2">
      <c r="A17" s="435" t="s">
        <v>20</v>
      </c>
      <c r="B17" s="431" t="s">
        <v>21</v>
      </c>
      <c r="C17" s="380">
        <f>[6]BS17A!$D16</f>
        <v>0</v>
      </c>
      <c r="D17" s="270">
        <f>[6]BS17A!$U16</f>
        <v>6720</v>
      </c>
      <c r="E17" s="271">
        <f>[6]BS17A!$V16</f>
        <v>0</v>
      </c>
      <c r="F17" s="262"/>
    </row>
    <row r="18" spans="1:6" ht="15" customHeight="1" x14ac:dyDescent="0.2">
      <c r="A18" s="435" t="s">
        <v>22</v>
      </c>
      <c r="B18" s="431" t="s">
        <v>23</v>
      </c>
      <c r="C18" s="380">
        <f>[6]BS17A!$D17</f>
        <v>0</v>
      </c>
      <c r="D18" s="270">
        <f>[6]BS17A!$U17</f>
        <v>7370</v>
      </c>
      <c r="E18" s="271">
        <f>[6]BS17A!$V17</f>
        <v>0</v>
      </c>
      <c r="F18" s="262"/>
    </row>
    <row r="19" spans="1:6" ht="33" customHeight="1" x14ac:dyDescent="0.2">
      <c r="A19" s="435" t="s">
        <v>24</v>
      </c>
      <c r="B19" s="485" t="s">
        <v>25</v>
      </c>
      <c r="C19" s="380">
        <f>[6]BS17A!$D20</f>
        <v>0</v>
      </c>
      <c r="D19" s="270">
        <f>[6]BS17A!$U20</f>
        <v>5690</v>
      </c>
      <c r="E19" s="271">
        <f>[6]BS17A!$V20</f>
        <v>0</v>
      </c>
      <c r="F19" s="262"/>
    </row>
    <row r="20" spans="1:6" ht="42.75" customHeight="1" x14ac:dyDescent="0.2">
      <c r="A20" s="435" t="s">
        <v>26</v>
      </c>
      <c r="B20" s="485" t="s">
        <v>27</v>
      </c>
      <c r="C20" s="380">
        <f>[6]BS17A!$D21</f>
        <v>0</v>
      </c>
      <c r="D20" s="270">
        <f>[6]BS17A!$U21</f>
        <v>6820</v>
      </c>
      <c r="E20" s="271">
        <f>[6]BS17A!$V21</f>
        <v>0</v>
      </c>
      <c r="F20" s="262"/>
    </row>
    <row r="21" spans="1:6" ht="42.75" customHeight="1" x14ac:dyDescent="0.2">
      <c r="A21" s="435" t="s">
        <v>28</v>
      </c>
      <c r="B21" s="485" t="s">
        <v>29</v>
      </c>
      <c r="C21" s="380">
        <f>[6]BS17A!$D22</f>
        <v>0</v>
      </c>
      <c r="D21" s="270">
        <f>[6]BS17A!$U22</f>
        <v>8460</v>
      </c>
      <c r="E21" s="271">
        <f>[6]BS17A!$V22</f>
        <v>0</v>
      </c>
      <c r="F21" s="262"/>
    </row>
    <row r="22" spans="1:6" ht="32.25" customHeight="1" x14ac:dyDescent="0.2">
      <c r="A22" s="435" t="s">
        <v>30</v>
      </c>
      <c r="B22" s="485" t="s">
        <v>31</v>
      </c>
      <c r="C22" s="380">
        <f>[6]BS17A!$D23</f>
        <v>2162</v>
      </c>
      <c r="D22" s="270">
        <f>[6]BS17A!$U23</f>
        <v>5690</v>
      </c>
      <c r="E22" s="271">
        <f>[6]BS17A!$V23</f>
        <v>12301780</v>
      </c>
      <c r="F22" s="262"/>
    </row>
    <row r="23" spans="1:6" ht="40.5" customHeight="1" x14ac:dyDescent="0.2">
      <c r="A23" s="435" t="s">
        <v>32</v>
      </c>
      <c r="B23" s="485" t="s">
        <v>33</v>
      </c>
      <c r="C23" s="380">
        <f>[6]BS17A!$D24</f>
        <v>1384</v>
      </c>
      <c r="D23" s="270">
        <f>[6]BS17A!$U24</f>
        <v>6820</v>
      </c>
      <c r="E23" s="271">
        <f>[6]BS17A!$V24</f>
        <v>9438880</v>
      </c>
      <c r="F23" s="262"/>
    </row>
    <row r="24" spans="1:6" ht="27" customHeight="1" x14ac:dyDescent="0.2">
      <c r="A24" s="435" t="s">
        <v>34</v>
      </c>
      <c r="B24" s="485" t="s">
        <v>35</v>
      </c>
      <c r="C24" s="380">
        <f>[6]BS17A!$D25</f>
        <v>2281</v>
      </c>
      <c r="D24" s="270">
        <f>[6]BS17A!$U25</f>
        <v>8460</v>
      </c>
      <c r="E24" s="271">
        <f>[6]BS17A!$V25</f>
        <v>19297260</v>
      </c>
      <c r="F24" s="262"/>
    </row>
    <row r="25" spans="1:6" ht="15" customHeight="1" x14ac:dyDescent="0.2">
      <c r="A25" s="435" t="s">
        <v>36</v>
      </c>
      <c r="B25" s="430" t="s">
        <v>37</v>
      </c>
      <c r="C25" s="380">
        <f>+[6]BS17A!$D795</f>
        <v>191</v>
      </c>
      <c r="D25" s="270">
        <f>+[6]BS17A!$U795</f>
        <v>6900</v>
      </c>
      <c r="E25" s="271">
        <f>+[6]BS17A!$V795</f>
        <v>1317900</v>
      </c>
      <c r="F25" s="262"/>
    </row>
    <row r="26" spans="1:6" ht="15" customHeight="1" x14ac:dyDescent="0.2">
      <c r="A26" s="436" t="s">
        <v>38</v>
      </c>
      <c r="B26" s="450" t="s">
        <v>39</v>
      </c>
      <c r="C26" s="395">
        <f>+[6]BS17A!$D800</f>
        <v>0</v>
      </c>
      <c r="D26" s="272">
        <f>+[6]BS17A!$U800</f>
        <v>28580</v>
      </c>
      <c r="E26" s="273">
        <f>+[6]BS17A!$V800</f>
        <v>0</v>
      </c>
      <c r="F26" s="262"/>
    </row>
    <row r="27" spans="1:6" ht="18" customHeight="1" x14ac:dyDescent="0.2">
      <c r="A27" s="586" t="s">
        <v>40</v>
      </c>
      <c r="B27" s="587"/>
      <c r="C27" s="587"/>
      <c r="D27" s="587"/>
      <c r="E27" s="588"/>
      <c r="F27" s="262"/>
    </row>
    <row r="28" spans="1:6" ht="15" customHeight="1" x14ac:dyDescent="0.2">
      <c r="A28" s="434" t="s">
        <v>41</v>
      </c>
      <c r="B28" s="443" t="s">
        <v>42</v>
      </c>
      <c r="C28" s="383">
        <f>[6]BS17A!$D27</f>
        <v>1455</v>
      </c>
      <c r="D28" s="267">
        <f>[6]BS17A!$U27</f>
        <v>1110</v>
      </c>
      <c r="E28" s="268">
        <f>[6]BS17A!$V27</f>
        <v>1615050</v>
      </c>
      <c r="F28" s="262"/>
    </row>
    <row r="29" spans="1:6" ht="15" customHeight="1" x14ac:dyDescent="0.2">
      <c r="A29" s="435" t="s">
        <v>43</v>
      </c>
      <c r="B29" s="449" t="s">
        <v>44</v>
      </c>
      <c r="C29" s="380">
        <f>[6]BS17A!$D28</f>
        <v>0</v>
      </c>
      <c r="D29" s="270">
        <f>[6]BS17A!$U28</f>
        <v>1900</v>
      </c>
      <c r="E29" s="271">
        <f>[6]BS17A!$V28</f>
        <v>0</v>
      </c>
      <c r="F29" s="262"/>
    </row>
    <row r="30" spans="1:6" ht="15" customHeight="1" x14ac:dyDescent="0.2">
      <c r="A30" s="435" t="s">
        <v>45</v>
      </c>
      <c r="B30" s="431" t="s">
        <v>46</v>
      </c>
      <c r="C30" s="380">
        <f>[6]BS17A!$D29</f>
        <v>0</v>
      </c>
      <c r="D30" s="270">
        <f>[6]BS17A!$U29</f>
        <v>610</v>
      </c>
      <c r="E30" s="271">
        <f>[6]BS17A!$V29</f>
        <v>0</v>
      </c>
      <c r="F30" s="262"/>
    </row>
    <row r="31" spans="1:6" ht="15" customHeight="1" x14ac:dyDescent="0.2">
      <c r="A31" s="435" t="s">
        <v>47</v>
      </c>
      <c r="B31" s="431" t="s">
        <v>48</v>
      </c>
      <c r="C31" s="380">
        <f>[6]BS17A!$D30</f>
        <v>134</v>
      </c>
      <c r="D31" s="270">
        <f>[6]BS17A!$U30</f>
        <v>1500</v>
      </c>
      <c r="E31" s="271">
        <f>[6]BS17A!$V30</f>
        <v>201000</v>
      </c>
      <c r="F31" s="262"/>
    </row>
    <row r="32" spans="1:6" ht="15" customHeight="1" x14ac:dyDescent="0.2">
      <c r="A32" s="435" t="s">
        <v>49</v>
      </c>
      <c r="B32" s="431" t="s">
        <v>50</v>
      </c>
      <c r="C32" s="380">
        <f>[6]BS17A!$D31</f>
        <v>2462</v>
      </c>
      <c r="D32" s="270">
        <f>[6]BS17A!$U31</f>
        <v>1210</v>
      </c>
      <c r="E32" s="271">
        <f>[6]BS17A!$V31</f>
        <v>2979020</v>
      </c>
      <c r="F32" s="262"/>
    </row>
    <row r="33" spans="1:6" ht="15" customHeight="1" x14ac:dyDescent="0.2">
      <c r="A33" s="435" t="s">
        <v>51</v>
      </c>
      <c r="B33" s="449" t="s">
        <v>52</v>
      </c>
      <c r="C33" s="380">
        <f>[6]BS17A!$D32</f>
        <v>0</v>
      </c>
      <c r="D33" s="270">
        <f>[6]BS17A!$U32</f>
        <v>1110</v>
      </c>
      <c r="E33" s="271">
        <f>[6]BS17A!$V32</f>
        <v>0</v>
      </c>
      <c r="F33" s="262"/>
    </row>
    <row r="34" spans="1:6" ht="15" customHeight="1" x14ac:dyDescent="0.2">
      <c r="A34" s="435" t="s">
        <v>53</v>
      </c>
      <c r="B34" s="431" t="s">
        <v>54</v>
      </c>
      <c r="C34" s="380">
        <f>+[6]BS17A!$D796</f>
        <v>370</v>
      </c>
      <c r="D34" s="270">
        <f>+[6]BS17A!$U796</f>
        <v>2700</v>
      </c>
      <c r="E34" s="271">
        <f>+[6]BS17A!$V796</f>
        <v>999000</v>
      </c>
      <c r="F34" s="262"/>
    </row>
    <row r="35" spans="1:6" ht="15" customHeight="1" x14ac:dyDescent="0.2">
      <c r="A35" s="435" t="s">
        <v>55</v>
      </c>
      <c r="B35" s="449" t="s">
        <v>56</v>
      </c>
      <c r="C35" s="380">
        <f>+[6]BS17A!$D797</f>
        <v>411</v>
      </c>
      <c r="D35" s="270">
        <f>+[6]BS17A!$U797</f>
        <v>2700</v>
      </c>
      <c r="E35" s="271">
        <f>+[6]BS17A!$V797</f>
        <v>1109700</v>
      </c>
      <c r="F35" s="262"/>
    </row>
    <row r="36" spans="1:6" ht="15" customHeight="1" x14ac:dyDescent="0.2">
      <c r="A36" s="435" t="s">
        <v>57</v>
      </c>
      <c r="B36" s="449" t="s">
        <v>58</v>
      </c>
      <c r="C36" s="380">
        <f>+[6]BS17A!$D798</f>
        <v>4</v>
      </c>
      <c r="D36" s="270">
        <f>+[6]BS17A!$U798</f>
        <v>10760</v>
      </c>
      <c r="E36" s="271">
        <f>+[6]BS17A!$V798</f>
        <v>43040</v>
      </c>
      <c r="F36" s="262"/>
    </row>
    <row r="37" spans="1:6" ht="15" customHeight="1" x14ac:dyDescent="0.2">
      <c r="A37" s="436" t="s">
        <v>59</v>
      </c>
      <c r="B37" s="484" t="s">
        <v>60</v>
      </c>
      <c r="C37" s="395">
        <f>+[6]BS17A!$D799</f>
        <v>44</v>
      </c>
      <c r="D37" s="272">
        <f>+[6]BS17A!$U799</f>
        <v>12600</v>
      </c>
      <c r="E37" s="273">
        <f>+[6]BS17A!$V799</f>
        <v>554400</v>
      </c>
      <c r="F37" s="262"/>
    </row>
    <row r="38" spans="1:6" ht="18" customHeight="1" x14ac:dyDescent="0.2">
      <c r="A38" s="591" t="s">
        <v>61</v>
      </c>
      <c r="B38" s="592"/>
      <c r="C38" s="592"/>
      <c r="D38" s="592"/>
      <c r="E38" s="593"/>
      <c r="F38" s="262"/>
    </row>
    <row r="39" spans="1:6" ht="15" customHeight="1" x14ac:dyDescent="0.2">
      <c r="A39" s="434" t="s">
        <v>62</v>
      </c>
      <c r="B39" s="429" t="s">
        <v>63</v>
      </c>
      <c r="C39" s="383">
        <f>+[6]BS17A!$D801</f>
        <v>0</v>
      </c>
      <c r="D39" s="275">
        <f>+[6]BS17A!$U801</f>
        <v>3550</v>
      </c>
      <c r="E39" s="276">
        <f>+[6]BS17A!$V801</f>
        <v>0</v>
      </c>
      <c r="F39" s="262"/>
    </row>
    <row r="40" spans="1:6" ht="15" customHeight="1" x14ac:dyDescent="0.2">
      <c r="A40" s="436" t="s">
        <v>64</v>
      </c>
      <c r="B40" s="444" t="s">
        <v>65</v>
      </c>
      <c r="C40" s="395">
        <f>+[6]BS17A!$D802</f>
        <v>0</v>
      </c>
      <c r="D40" s="277">
        <f>+[6]BS17A!$U802</f>
        <v>9180</v>
      </c>
      <c r="E40" s="278">
        <f>+[6]BS17A!$V802</f>
        <v>0</v>
      </c>
      <c r="F40" s="262"/>
    </row>
    <row r="41" spans="1:6" ht="18" customHeight="1" x14ac:dyDescent="0.2">
      <c r="A41" s="591" t="s">
        <v>66</v>
      </c>
      <c r="B41" s="592"/>
      <c r="C41" s="592"/>
      <c r="D41" s="592"/>
      <c r="E41" s="593"/>
      <c r="F41" s="262"/>
    </row>
    <row r="42" spans="1:6" ht="15" customHeight="1" x14ac:dyDescent="0.2">
      <c r="A42" s="434" t="s">
        <v>67</v>
      </c>
      <c r="B42" s="451" t="s">
        <v>68</v>
      </c>
      <c r="C42" s="383">
        <f>+[6]BS17A!$D34</f>
        <v>35</v>
      </c>
      <c r="D42" s="275">
        <f>+[6]BS17A!$U34</f>
        <v>3640</v>
      </c>
      <c r="E42" s="276">
        <f>+[6]BS17A!$V34</f>
        <v>127400</v>
      </c>
      <c r="F42" s="262"/>
    </row>
    <row r="43" spans="1:6" ht="15" customHeight="1" x14ac:dyDescent="0.2">
      <c r="A43" s="435" t="s">
        <v>69</v>
      </c>
      <c r="B43" s="431" t="s">
        <v>70</v>
      </c>
      <c r="C43" s="380">
        <f>+[6]BS17A!$D35</f>
        <v>684</v>
      </c>
      <c r="D43" s="270">
        <f>+[6]BS17A!$U35</f>
        <v>2000</v>
      </c>
      <c r="E43" s="271">
        <f>+[6]BS17A!$V35</f>
        <v>1368000</v>
      </c>
      <c r="F43" s="262"/>
    </row>
    <row r="44" spans="1:6" ht="15" customHeight="1" x14ac:dyDescent="0.2">
      <c r="A44" s="435" t="s">
        <v>71</v>
      </c>
      <c r="B44" s="431" t="s">
        <v>72</v>
      </c>
      <c r="C44" s="380">
        <f>+[6]BS17A!$D36</f>
        <v>0</v>
      </c>
      <c r="D44" s="270">
        <f>+[6]BS17A!$U36</f>
        <v>2000</v>
      </c>
      <c r="E44" s="271">
        <f>+[6]BS17A!$V36</f>
        <v>0</v>
      </c>
      <c r="F44" s="262"/>
    </row>
    <row r="45" spans="1:6" ht="15" customHeight="1" x14ac:dyDescent="0.2">
      <c r="A45" s="436" t="s">
        <v>73</v>
      </c>
      <c r="B45" s="432" t="s">
        <v>74</v>
      </c>
      <c r="C45" s="395">
        <f>+[6]BS17A!$D37</f>
        <v>871</v>
      </c>
      <c r="D45" s="277">
        <f>+[6]BS17A!$U37</f>
        <v>610</v>
      </c>
      <c r="E45" s="278">
        <f>+[6]BS17A!$V37</f>
        <v>531310</v>
      </c>
      <c r="F45" s="262"/>
    </row>
    <row r="46" spans="1:6" ht="18" customHeight="1" x14ac:dyDescent="0.2">
      <c r="A46" s="591" t="s">
        <v>75</v>
      </c>
      <c r="B46" s="592"/>
      <c r="C46" s="592"/>
      <c r="D46" s="592"/>
      <c r="E46" s="593"/>
      <c r="F46" s="262"/>
    </row>
    <row r="47" spans="1:6" ht="15" customHeight="1" x14ac:dyDescent="0.2">
      <c r="A47" s="434" t="s">
        <v>76</v>
      </c>
      <c r="B47" s="451" t="s">
        <v>77</v>
      </c>
      <c r="C47" s="383">
        <f>+[6]BS17A!$D39</f>
        <v>0</v>
      </c>
      <c r="D47" s="275">
        <f>+[6]BS17A!$U39</f>
        <v>1730</v>
      </c>
      <c r="E47" s="276">
        <f>+[6]BS17A!$V39</f>
        <v>0</v>
      </c>
      <c r="F47" s="262"/>
    </row>
    <row r="48" spans="1:6" ht="15" customHeight="1" x14ac:dyDescent="0.2">
      <c r="A48" s="435" t="s">
        <v>78</v>
      </c>
      <c r="B48" s="431" t="s">
        <v>79</v>
      </c>
      <c r="C48" s="380">
        <f>+[6]BS17A!$D40</f>
        <v>30</v>
      </c>
      <c r="D48" s="270">
        <f>+[6]BS17A!$U40</f>
        <v>1730</v>
      </c>
      <c r="E48" s="271">
        <f>+[6]BS17A!$V40</f>
        <v>51900</v>
      </c>
      <c r="F48" s="262"/>
    </row>
    <row r="49" spans="1:7" ht="15" customHeight="1" x14ac:dyDescent="0.2">
      <c r="A49" s="436" t="s">
        <v>80</v>
      </c>
      <c r="B49" s="432" t="s">
        <v>81</v>
      </c>
      <c r="C49" s="395">
        <f>+[6]BS17A!$D41</f>
        <v>0</v>
      </c>
      <c r="D49" s="277">
        <f>+[6]BS17A!$U41</f>
        <v>1000</v>
      </c>
      <c r="E49" s="278">
        <f>+[6]BS17A!$V41</f>
        <v>0</v>
      </c>
      <c r="F49" s="262"/>
    </row>
    <row r="50" spans="1:7" ht="18" customHeight="1" x14ac:dyDescent="0.2">
      <c r="A50" s="279"/>
      <c r="B50" s="411" t="s">
        <v>82</v>
      </c>
      <c r="C50" s="279">
        <f>SUM(C14:C49)</f>
        <v>18940</v>
      </c>
      <c r="D50" s="280"/>
      <c r="E50" s="281">
        <f>SUM(E14:E49)</f>
        <v>124183140</v>
      </c>
      <c r="F50" s="262"/>
    </row>
    <row r="51" spans="1:7" ht="18" customHeight="1" x14ac:dyDescent="0.2">
      <c r="A51" s="282"/>
      <c r="B51" s="282"/>
      <c r="C51" s="282"/>
      <c r="D51" s="283"/>
      <c r="E51" s="284"/>
      <c r="F51" s="262"/>
    </row>
    <row r="52" spans="1:7" ht="12.75" x14ac:dyDescent="0.2">
      <c r="A52" s="262"/>
      <c r="B52" s="262"/>
      <c r="C52" s="262"/>
      <c r="D52" s="262"/>
      <c r="E52" s="262"/>
      <c r="F52" s="285"/>
      <c r="G52" s="286"/>
    </row>
    <row r="53" spans="1:7" ht="12.75" x14ac:dyDescent="0.2">
      <c r="A53" s="591" t="s">
        <v>83</v>
      </c>
      <c r="B53" s="592"/>
      <c r="C53" s="592"/>
      <c r="D53" s="592"/>
      <c r="E53" s="593"/>
      <c r="F53" s="285"/>
      <c r="G53" s="286"/>
    </row>
    <row r="54" spans="1:7" ht="42.75" customHeight="1" x14ac:dyDescent="0.2">
      <c r="A54" s="264" t="s">
        <v>8</v>
      </c>
      <c r="B54" s="264" t="s">
        <v>84</v>
      </c>
      <c r="C54" s="487" t="s">
        <v>10</v>
      </c>
      <c r="D54" s="311"/>
      <c r="E54" s="489" t="s">
        <v>12</v>
      </c>
      <c r="F54" s="262"/>
    </row>
    <row r="55" spans="1:7" ht="18" customHeight="1" x14ac:dyDescent="0.2">
      <c r="A55" s="492" t="s">
        <v>85</v>
      </c>
      <c r="B55" s="474" t="s">
        <v>86</v>
      </c>
      <c r="C55" s="316">
        <f>+[6]BS17!$D12</f>
        <v>61455</v>
      </c>
      <c r="D55" s="288"/>
      <c r="E55" s="289">
        <f>+E56+E57+E58+E59+E60+E61+E65+E66+E67</f>
        <v>87213690</v>
      </c>
      <c r="F55" s="262"/>
    </row>
    <row r="56" spans="1:7" ht="15" customHeight="1" x14ac:dyDescent="0.2">
      <c r="A56" s="472" t="s">
        <v>87</v>
      </c>
      <c r="B56" s="443" t="s">
        <v>88</v>
      </c>
      <c r="C56" s="426">
        <f>+[6]BS17!$D13</f>
        <v>23894</v>
      </c>
      <c r="D56" s="290"/>
      <c r="E56" s="291">
        <f>+[6]BS17A!V83</f>
        <v>24590200</v>
      </c>
      <c r="F56" s="262"/>
    </row>
    <row r="57" spans="1:7" ht="15" customHeight="1" x14ac:dyDescent="0.2">
      <c r="A57" s="435" t="s">
        <v>89</v>
      </c>
      <c r="B57" s="430" t="s">
        <v>90</v>
      </c>
      <c r="C57" s="380">
        <f>+[6]BS17!$D14</f>
        <v>25625</v>
      </c>
      <c r="D57" s="293"/>
      <c r="E57" s="294">
        <f>+[6]BS17A!V174</f>
        <v>30941610</v>
      </c>
      <c r="F57" s="262"/>
    </row>
    <row r="58" spans="1:7" ht="15" customHeight="1" x14ac:dyDescent="0.2">
      <c r="A58" s="435" t="s">
        <v>91</v>
      </c>
      <c r="B58" s="430" t="s">
        <v>92</v>
      </c>
      <c r="C58" s="380">
        <f>+[6]BS17!$D15</f>
        <v>1281</v>
      </c>
      <c r="D58" s="293"/>
      <c r="E58" s="294">
        <f>+[6]BS17A!V243</f>
        <v>4488510</v>
      </c>
      <c r="F58" s="262"/>
    </row>
    <row r="59" spans="1:7" ht="15" customHeight="1" x14ac:dyDescent="0.2">
      <c r="A59" s="435" t="s">
        <v>93</v>
      </c>
      <c r="B59" s="430" t="s">
        <v>94</v>
      </c>
      <c r="C59" s="380">
        <f>+[6]BS17!$D16</f>
        <v>0</v>
      </c>
      <c r="D59" s="293"/>
      <c r="E59" s="294">
        <f>+[6]BS17A!V289</f>
        <v>0</v>
      </c>
      <c r="F59" s="262"/>
    </row>
    <row r="60" spans="1:7" ht="15" customHeight="1" x14ac:dyDescent="0.2">
      <c r="A60" s="467" t="s">
        <v>95</v>
      </c>
      <c r="B60" s="450" t="s">
        <v>96</v>
      </c>
      <c r="C60" s="410">
        <f>+[6]BS17!$D17</f>
        <v>1523</v>
      </c>
      <c r="D60" s="295"/>
      <c r="E60" s="296">
        <f>+[6]BS17A!V295</f>
        <v>7131710</v>
      </c>
      <c r="F60" s="262"/>
    </row>
    <row r="61" spans="1:7" ht="15" customHeight="1" x14ac:dyDescent="0.2">
      <c r="A61" s="434" t="s">
        <v>97</v>
      </c>
      <c r="B61" s="475" t="s">
        <v>98</v>
      </c>
      <c r="C61" s="412">
        <f>+[6]BS17!$D18</f>
        <v>5947</v>
      </c>
      <c r="D61" s="297"/>
      <c r="E61" s="298">
        <f>SUM(E62:E64)</f>
        <v>15990630</v>
      </c>
      <c r="F61" s="262"/>
    </row>
    <row r="62" spans="1:7" ht="15" customHeight="1" x14ac:dyDescent="0.2">
      <c r="A62" s="478"/>
      <c r="B62" s="451" t="s">
        <v>99</v>
      </c>
      <c r="C62" s="383">
        <f>+[6]BS17!$D19</f>
        <v>4503</v>
      </c>
      <c r="D62" s="299"/>
      <c r="E62" s="300">
        <f>+[6]BS17A!V362</f>
        <v>10308790</v>
      </c>
      <c r="F62" s="262"/>
    </row>
    <row r="63" spans="1:7" ht="15" customHeight="1" x14ac:dyDescent="0.2">
      <c r="A63" s="478"/>
      <c r="B63" s="430" t="s">
        <v>100</v>
      </c>
      <c r="C63" s="380">
        <f>+[6]BS17!$D20</f>
        <v>66</v>
      </c>
      <c r="D63" s="293"/>
      <c r="E63" s="294">
        <f>+[6]BS17A!V405</f>
        <v>181920</v>
      </c>
      <c r="F63" s="262"/>
    </row>
    <row r="64" spans="1:7" ht="15" customHeight="1" x14ac:dyDescent="0.2">
      <c r="A64" s="479"/>
      <c r="B64" s="432" t="s">
        <v>101</v>
      </c>
      <c r="C64" s="395">
        <f>+[6]BS17!$D21</f>
        <v>1378</v>
      </c>
      <c r="D64" s="301"/>
      <c r="E64" s="302">
        <f>+[6]BS17A!V428</f>
        <v>5499920</v>
      </c>
      <c r="F64" s="262"/>
    </row>
    <row r="65" spans="1:7" ht="15" customHeight="1" x14ac:dyDescent="0.2">
      <c r="A65" s="472" t="s">
        <v>102</v>
      </c>
      <c r="B65" s="471" t="s">
        <v>103</v>
      </c>
      <c r="C65" s="426">
        <f>+[6]BS17!$D22</f>
        <v>0</v>
      </c>
      <c r="D65" s="290"/>
      <c r="E65" s="291">
        <f>+[6]BS17A!V446</f>
        <v>0</v>
      </c>
      <c r="F65" s="262"/>
    </row>
    <row r="66" spans="1:7" ht="15" customHeight="1" x14ac:dyDescent="0.2">
      <c r="A66" s="435" t="s">
        <v>104</v>
      </c>
      <c r="B66" s="430" t="s">
        <v>105</v>
      </c>
      <c r="C66" s="380">
        <f>+[6]BS17!$D23</f>
        <v>99</v>
      </c>
      <c r="D66" s="293"/>
      <c r="E66" s="294">
        <f>+[6]BS17A!V456</f>
        <v>198870</v>
      </c>
      <c r="F66" s="262"/>
    </row>
    <row r="67" spans="1:7" ht="15" customHeight="1" x14ac:dyDescent="0.2">
      <c r="A67" s="467" t="s">
        <v>106</v>
      </c>
      <c r="B67" s="450" t="s">
        <v>107</v>
      </c>
      <c r="C67" s="410">
        <f>+[6]BS17!$D24</f>
        <v>3086</v>
      </c>
      <c r="D67" s="295"/>
      <c r="E67" s="296">
        <f>+[6]BS17A!V500</f>
        <v>3872160</v>
      </c>
      <c r="F67" s="262"/>
    </row>
    <row r="68" spans="1:7" ht="15" customHeight="1" x14ac:dyDescent="0.2">
      <c r="A68" s="480" t="s">
        <v>108</v>
      </c>
      <c r="B68" s="470" t="s">
        <v>109</v>
      </c>
      <c r="C68" s="427">
        <f>+[6]BS17!$D25</f>
        <v>4480</v>
      </c>
      <c r="D68" s="303"/>
      <c r="E68" s="304">
        <f>SUM(E69:E74)</f>
        <v>69907000</v>
      </c>
      <c r="F68" s="262"/>
    </row>
    <row r="69" spans="1:7" ht="15" customHeight="1" x14ac:dyDescent="0.2">
      <c r="A69" s="435" t="s">
        <v>110</v>
      </c>
      <c r="B69" s="430" t="s">
        <v>111</v>
      </c>
      <c r="C69" s="380">
        <f>+[6]BS17!$D26</f>
        <v>2759</v>
      </c>
      <c r="D69" s="293"/>
      <c r="E69" s="294">
        <f>+[6]BS17A!V535</f>
        <v>21909340</v>
      </c>
      <c r="F69" s="262"/>
    </row>
    <row r="70" spans="1:7" ht="15" customHeight="1" x14ac:dyDescent="0.2">
      <c r="A70" s="435" t="s">
        <v>112</v>
      </c>
      <c r="B70" s="430" t="s">
        <v>113</v>
      </c>
      <c r="C70" s="380">
        <f>+[6]BS17!$D27</f>
        <v>10</v>
      </c>
      <c r="D70" s="293"/>
      <c r="E70" s="294">
        <f>+[6]BS17A!V590</f>
        <v>192240</v>
      </c>
      <c r="F70" s="262"/>
    </row>
    <row r="71" spans="1:7" ht="15" customHeight="1" x14ac:dyDescent="0.2">
      <c r="A71" s="435" t="s">
        <v>114</v>
      </c>
      <c r="B71" s="430" t="s">
        <v>115</v>
      </c>
      <c r="C71" s="380">
        <f>+[6]BS17!$D28</f>
        <v>683</v>
      </c>
      <c r="D71" s="293"/>
      <c r="E71" s="294">
        <f>+[6]BS17A!V615</f>
        <v>34470890</v>
      </c>
      <c r="F71" s="262"/>
    </row>
    <row r="72" spans="1:7" ht="15" customHeight="1" x14ac:dyDescent="0.2">
      <c r="A72" s="435" t="s">
        <v>116</v>
      </c>
      <c r="B72" s="430" t="s">
        <v>117</v>
      </c>
      <c r="C72" s="380">
        <f>+[6]BS17!$D30+[6]BS17!$D32</f>
        <v>824</v>
      </c>
      <c r="D72" s="293"/>
      <c r="E72" s="294">
        <f>+[6]BS17A!V633-[6]BS17A!V634</f>
        <v>12296170</v>
      </c>
      <c r="F72" s="262"/>
    </row>
    <row r="73" spans="1:7" ht="15" customHeight="1" x14ac:dyDescent="0.2">
      <c r="A73" s="481"/>
      <c r="B73" s="430" t="s">
        <v>118</v>
      </c>
      <c r="C73" s="380">
        <f>+[6]BS17!$D31</f>
        <v>204</v>
      </c>
      <c r="D73" s="293"/>
      <c r="E73" s="294">
        <f>+[6]BS17A!V634</f>
        <v>1038360</v>
      </c>
      <c r="F73" s="262"/>
    </row>
    <row r="74" spans="1:7" ht="15" customHeight="1" x14ac:dyDescent="0.2">
      <c r="A74" s="482" t="s">
        <v>119</v>
      </c>
      <c r="B74" s="476" t="s">
        <v>120</v>
      </c>
      <c r="C74" s="417">
        <f>+[6]BS17!$D33</f>
        <v>0</v>
      </c>
      <c r="D74" s="389"/>
      <c r="E74" s="390">
        <f>+[6]BS17A!V654</f>
        <v>0</v>
      </c>
      <c r="F74" s="262"/>
    </row>
    <row r="75" spans="1:7" ht="15" customHeight="1" x14ac:dyDescent="0.2">
      <c r="A75" s="483" t="s">
        <v>121</v>
      </c>
      <c r="B75" s="477" t="s">
        <v>122</v>
      </c>
      <c r="C75" s="428">
        <f>+[6]BS17!$D34</f>
        <v>0</v>
      </c>
      <c r="D75" s="305"/>
      <c r="E75" s="306">
        <f>+[6]BS17A!V783</f>
        <v>0</v>
      </c>
      <c r="F75" s="262"/>
    </row>
    <row r="76" spans="1:7" ht="15" customHeight="1" x14ac:dyDescent="0.2">
      <c r="A76" s="437"/>
      <c r="B76" s="491" t="s">
        <v>123</v>
      </c>
      <c r="C76" s="316">
        <f>+C55+C68+C75</f>
        <v>65935</v>
      </c>
      <c r="D76" s="288"/>
      <c r="E76" s="308">
        <f>+E55+E68+E75</f>
        <v>157120690</v>
      </c>
      <c r="F76" s="262"/>
    </row>
    <row r="77" spans="1:7" ht="12.75" x14ac:dyDescent="0.2">
      <c r="A77" s="262"/>
      <c r="B77" s="262"/>
      <c r="C77" s="262"/>
      <c r="D77" s="262"/>
      <c r="E77" s="262"/>
      <c r="F77" s="285"/>
      <c r="G77" s="286"/>
    </row>
    <row r="78" spans="1:7" ht="12.75" x14ac:dyDescent="0.2">
      <c r="A78" s="262"/>
      <c r="B78" s="262"/>
      <c r="C78" s="262"/>
      <c r="D78" s="262"/>
      <c r="E78" s="262"/>
      <c r="F78" s="285"/>
      <c r="G78" s="286"/>
    </row>
    <row r="79" spans="1:7" ht="12.75" x14ac:dyDescent="0.2">
      <c r="A79" s="583" t="s">
        <v>124</v>
      </c>
      <c r="B79" s="584"/>
      <c r="C79" s="584"/>
      <c r="D79" s="584"/>
      <c r="E79" s="585"/>
      <c r="F79" s="285"/>
      <c r="G79" s="286"/>
    </row>
    <row r="80" spans="1:7" ht="45" customHeight="1" x14ac:dyDescent="0.2">
      <c r="A80" s="264" t="s">
        <v>8</v>
      </c>
      <c r="B80" s="488" t="s">
        <v>9</v>
      </c>
      <c r="C80" s="309" t="s">
        <v>10</v>
      </c>
      <c r="D80" s="311"/>
      <c r="E80" s="312" t="s">
        <v>12</v>
      </c>
      <c r="F80" s="285"/>
      <c r="G80" s="286"/>
    </row>
    <row r="81" spans="1:6" ht="15" customHeight="1" x14ac:dyDescent="0.2">
      <c r="A81" s="473" t="s">
        <v>125</v>
      </c>
      <c r="B81" s="443" t="s">
        <v>126</v>
      </c>
      <c r="C81" s="383">
        <f>+[6]BS17!D49</f>
        <v>0</v>
      </c>
      <c r="D81" s="290"/>
      <c r="E81" s="313">
        <f>+SUM([6]BS17A!V673+[6]BS17A!V719)</f>
        <v>0</v>
      </c>
      <c r="F81" s="262"/>
    </row>
    <row r="82" spans="1:6" ht="15" customHeight="1" x14ac:dyDescent="0.2">
      <c r="A82" s="457">
        <v>2001</v>
      </c>
      <c r="B82" s="430" t="s">
        <v>127</v>
      </c>
      <c r="C82" s="380">
        <f>+[6]BS17!E130</f>
        <v>1031</v>
      </c>
      <c r="D82" s="293"/>
      <c r="E82" s="314">
        <f>+[6]BS17A!V1574</f>
        <v>9544090</v>
      </c>
      <c r="F82" s="262"/>
    </row>
    <row r="83" spans="1:6" ht="15" customHeight="1" x14ac:dyDescent="0.2">
      <c r="A83" s="467" t="s">
        <v>128</v>
      </c>
      <c r="B83" s="450" t="s">
        <v>129</v>
      </c>
      <c r="C83" s="410">
        <f>+[6]BS17A!D1849</f>
        <v>24</v>
      </c>
      <c r="D83" s="295"/>
      <c r="E83" s="315">
        <f>+[6]BS17A!V1849</f>
        <v>1546900</v>
      </c>
      <c r="F83" s="262"/>
    </row>
    <row r="84" spans="1:6" ht="17.25" customHeight="1" x14ac:dyDescent="0.2">
      <c r="A84" s="437"/>
      <c r="B84" s="491" t="s">
        <v>130</v>
      </c>
      <c r="C84" s="316">
        <f>+SUM(C81:C83)</f>
        <v>1055</v>
      </c>
      <c r="D84" s="288"/>
      <c r="E84" s="317">
        <f>SUM(E81:E83)</f>
        <v>11090990</v>
      </c>
      <c r="F84" s="262"/>
    </row>
    <row r="85" spans="1:6" ht="12.75" x14ac:dyDescent="0.2">
      <c r="A85" s="262"/>
      <c r="B85" s="262"/>
      <c r="C85" s="262"/>
      <c r="D85" s="262"/>
      <c r="E85" s="262"/>
      <c r="F85" s="262"/>
    </row>
    <row r="86" spans="1:6" ht="12.75" x14ac:dyDescent="0.2">
      <c r="A86" s="262"/>
      <c r="B86" s="262"/>
      <c r="C86" s="262"/>
      <c r="D86" s="262"/>
      <c r="E86" s="262"/>
      <c r="F86" s="259"/>
    </row>
    <row r="87" spans="1:6" ht="12.75" x14ac:dyDescent="0.15">
      <c r="A87" s="597" t="s">
        <v>131</v>
      </c>
      <c r="B87" s="598"/>
      <c r="C87" s="598"/>
      <c r="D87" s="598"/>
      <c r="E87" s="598"/>
      <c r="F87" s="599"/>
    </row>
    <row r="88" spans="1:6" ht="33.75" customHeight="1" x14ac:dyDescent="0.15">
      <c r="A88" s="611" t="s">
        <v>8</v>
      </c>
      <c r="B88" s="611" t="s">
        <v>9</v>
      </c>
      <c r="C88" s="586" t="s">
        <v>10</v>
      </c>
      <c r="D88" s="587"/>
      <c r="E88" s="587"/>
      <c r="F88" s="588"/>
    </row>
    <row r="89" spans="1:6" ht="45" customHeight="1" x14ac:dyDescent="0.15">
      <c r="A89" s="612"/>
      <c r="B89" s="612"/>
      <c r="C89" s="488" t="s">
        <v>132</v>
      </c>
      <c r="D89" s="394" t="s">
        <v>133</v>
      </c>
      <c r="E89" s="310" t="s">
        <v>134</v>
      </c>
      <c r="F89" s="489" t="s">
        <v>12</v>
      </c>
    </row>
    <row r="90" spans="1:6" ht="15" customHeight="1" x14ac:dyDescent="0.2">
      <c r="A90" s="434" t="s">
        <v>135</v>
      </c>
      <c r="B90" s="429" t="s">
        <v>136</v>
      </c>
      <c r="C90" s="420">
        <f>+[6]BS17!F68</f>
        <v>0</v>
      </c>
      <c r="D90" s="318">
        <f>+[6]BS17!G68</f>
        <v>0</v>
      </c>
      <c r="E90" s="319">
        <f>+[6]BS17!H68</f>
        <v>0</v>
      </c>
      <c r="F90" s="320">
        <f>[6]BS17A!V811</f>
        <v>0</v>
      </c>
    </row>
    <row r="91" spans="1:6" ht="15" customHeight="1" x14ac:dyDescent="0.2">
      <c r="A91" s="435" t="s">
        <v>137</v>
      </c>
      <c r="B91" s="430" t="s">
        <v>138</v>
      </c>
      <c r="C91" s="421">
        <f>+[6]BS17!F69</f>
        <v>178</v>
      </c>
      <c r="D91" s="321">
        <f>+[6]BS17!G69</f>
        <v>0</v>
      </c>
      <c r="E91" s="322">
        <f>+[6]BS17!H69</f>
        <v>0</v>
      </c>
      <c r="F91" s="323">
        <f>[6]BS17A!V882</f>
        <v>57332130</v>
      </c>
    </row>
    <row r="92" spans="1:6" ht="15" customHeight="1" x14ac:dyDescent="0.2">
      <c r="A92" s="435" t="s">
        <v>139</v>
      </c>
      <c r="B92" s="430" t="s">
        <v>140</v>
      </c>
      <c r="C92" s="421">
        <f>+[6]BS17!F70</f>
        <v>32</v>
      </c>
      <c r="D92" s="321">
        <f>+[6]BS17!G70</f>
        <v>1</v>
      </c>
      <c r="E92" s="322">
        <f>+[6]BS17!H70</f>
        <v>0</v>
      </c>
      <c r="F92" s="323">
        <f>[6]BS17A!V961</f>
        <v>2987455</v>
      </c>
    </row>
    <row r="93" spans="1:6" ht="15" customHeight="1" x14ac:dyDescent="0.2">
      <c r="A93" s="435" t="s">
        <v>141</v>
      </c>
      <c r="B93" s="430" t="s">
        <v>142</v>
      </c>
      <c r="C93" s="421">
        <f>+[6]BS17!F71</f>
        <v>12</v>
      </c>
      <c r="D93" s="321">
        <f>+[6]BS17!G71</f>
        <v>0</v>
      </c>
      <c r="E93" s="322">
        <f>+[6]BS17!H71</f>
        <v>0</v>
      </c>
      <c r="F93" s="323">
        <f>[6]BS17A!V1037</f>
        <v>737310</v>
      </c>
    </row>
    <row r="94" spans="1:6" ht="15" customHeight="1" x14ac:dyDescent="0.2">
      <c r="A94" s="435" t="s">
        <v>143</v>
      </c>
      <c r="B94" s="430" t="s">
        <v>144</v>
      </c>
      <c r="C94" s="421">
        <f>+[6]BS17!F72</f>
        <v>67</v>
      </c>
      <c r="D94" s="321">
        <f>+[6]BS17!G72</f>
        <v>0</v>
      </c>
      <c r="E94" s="322">
        <f>+[6]BS17!H72</f>
        <v>0</v>
      </c>
      <c r="F94" s="323">
        <f>[6]BS17A!V1098</f>
        <v>3595770</v>
      </c>
    </row>
    <row r="95" spans="1:6" ht="15" customHeight="1" x14ac:dyDescent="0.2">
      <c r="A95" s="435" t="s">
        <v>145</v>
      </c>
      <c r="B95" s="430" t="s">
        <v>146</v>
      </c>
      <c r="C95" s="421">
        <f>+[6]BS17!F73</f>
        <v>129</v>
      </c>
      <c r="D95" s="321">
        <f>+[6]BS17!G73</f>
        <v>1</v>
      </c>
      <c r="E95" s="322">
        <f>+[6]BS17!H73</f>
        <v>0</v>
      </c>
      <c r="F95" s="323">
        <f>[6]BS17A!V1166</f>
        <v>2886370</v>
      </c>
    </row>
    <row r="96" spans="1:6" ht="15" customHeight="1" x14ac:dyDescent="0.2">
      <c r="A96" s="435" t="s">
        <v>147</v>
      </c>
      <c r="B96" s="430" t="s">
        <v>148</v>
      </c>
      <c r="C96" s="421">
        <f>+[6]BS17!F74</f>
        <v>2</v>
      </c>
      <c r="D96" s="321">
        <f>+[6]BS17!G74</f>
        <v>1</v>
      </c>
      <c r="E96" s="322">
        <f>+[6]BS17!H74</f>
        <v>0</v>
      </c>
      <c r="F96" s="323">
        <f>[6]BS17A!V1221</f>
        <v>324535</v>
      </c>
    </row>
    <row r="97" spans="1:6" ht="15" customHeight="1" x14ac:dyDescent="0.2">
      <c r="A97" s="435" t="s">
        <v>149</v>
      </c>
      <c r="B97" s="430" t="s">
        <v>150</v>
      </c>
      <c r="C97" s="421">
        <f>+[6]BS17!F75</f>
        <v>3</v>
      </c>
      <c r="D97" s="321">
        <f>+[6]BS17!G75</f>
        <v>0</v>
      </c>
      <c r="E97" s="322">
        <f>+[6]BS17!H75</f>
        <v>0</v>
      </c>
      <c r="F97" s="323">
        <f>[6]BS17A!V1287</f>
        <v>326200</v>
      </c>
    </row>
    <row r="98" spans="1:6" ht="15" customHeight="1" x14ac:dyDescent="0.2">
      <c r="A98" s="435" t="s">
        <v>151</v>
      </c>
      <c r="B98" s="430" t="s">
        <v>152</v>
      </c>
      <c r="C98" s="421">
        <f>+[6]BS17!F76</f>
        <v>157</v>
      </c>
      <c r="D98" s="321">
        <f>+[6]BS17!G76</f>
        <v>19</v>
      </c>
      <c r="E98" s="322">
        <f>+[6]BS17!H76</f>
        <v>0</v>
      </c>
      <c r="F98" s="323">
        <f>[6]BS17A!V1357</f>
        <v>38878030</v>
      </c>
    </row>
    <row r="99" spans="1:6" ht="15" customHeight="1" x14ac:dyDescent="0.2">
      <c r="A99" s="435" t="s">
        <v>153</v>
      </c>
      <c r="B99" s="430" t="s">
        <v>154</v>
      </c>
      <c r="C99" s="421">
        <f>+[6]BS17!F77</f>
        <v>5</v>
      </c>
      <c r="D99" s="321">
        <f>+[6]BS17!G77</f>
        <v>0</v>
      </c>
      <c r="E99" s="322">
        <f>+[6]BS17!H77</f>
        <v>0</v>
      </c>
      <c r="F99" s="323">
        <f>[6]BS17A!V1441</f>
        <v>340090</v>
      </c>
    </row>
    <row r="100" spans="1:6" ht="15" customHeight="1" x14ac:dyDescent="0.2">
      <c r="A100" s="435" t="s">
        <v>155</v>
      </c>
      <c r="B100" s="430" t="s">
        <v>156</v>
      </c>
      <c r="C100" s="421">
        <f>+[6]BS17!F78</f>
        <v>41</v>
      </c>
      <c r="D100" s="321">
        <f>+[6]BS17!G78</f>
        <v>5</v>
      </c>
      <c r="E100" s="322">
        <f>+[6]BS17!H78</f>
        <v>0</v>
      </c>
      <c r="F100" s="323">
        <f>[6]BS17A!V1489</f>
        <v>8231060</v>
      </c>
    </row>
    <row r="101" spans="1:6" ht="15" customHeight="1" x14ac:dyDescent="0.2">
      <c r="A101" s="435" t="s">
        <v>157</v>
      </c>
      <c r="B101" s="430" t="s">
        <v>158</v>
      </c>
      <c r="C101" s="421">
        <f>+[6]BS17!F79</f>
        <v>6</v>
      </c>
      <c r="D101" s="321">
        <f>+[6]BS17!G79</f>
        <v>2</v>
      </c>
      <c r="E101" s="322">
        <f>+[6]BS17!H79</f>
        <v>0</v>
      </c>
      <c r="F101" s="323">
        <f>[6]BS17A!V1592</f>
        <v>1887010</v>
      </c>
    </row>
    <row r="102" spans="1:6" ht="15" customHeight="1" x14ac:dyDescent="0.2">
      <c r="A102" s="467" t="s">
        <v>159</v>
      </c>
      <c r="B102" s="450" t="s">
        <v>160</v>
      </c>
      <c r="C102" s="422">
        <f>+[6]BS17!F80</f>
        <v>38</v>
      </c>
      <c r="D102" s="324">
        <f>+[6]BS17!G80</f>
        <v>9</v>
      </c>
      <c r="E102" s="325">
        <f>+[6]BS17!H80</f>
        <v>0</v>
      </c>
      <c r="F102" s="326">
        <f>[6]BS17A!V1597</f>
        <v>6757960</v>
      </c>
    </row>
    <row r="103" spans="1:6" ht="15" customHeight="1" x14ac:dyDescent="0.2">
      <c r="A103" s="434" t="s">
        <v>161</v>
      </c>
      <c r="B103" s="429" t="s">
        <v>162</v>
      </c>
      <c r="C103" s="420">
        <f>+[6]BS17!F81</f>
        <v>70</v>
      </c>
      <c r="D103" s="318">
        <f>+[6]BS17!G81</f>
        <v>0</v>
      </c>
      <c r="E103" s="319">
        <f>+[6]BS17!H81</f>
        <v>0</v>
      </c>
      <c r="F103" s="320">
        <f>+[6]BS17A!V1631</f>
        <v>8050620</v>
      </c>
    </row>
    <row r="104" spans="1:6" ht="15" customHeight="1" x14ac:dyDescent="0.2">
      <c r="A104" s="435"/>
      <c r="B104" s="430" t="s">
        <v>163</v>
      </c>
      <c r="C104" s="421">
        <f>+[6]BS17A!D1635</f>
        <v>0</v>
      </c>
      <c r="D104" s="321">
        <f>+[6]BS17A!F1635</f>
        <v>0</v>
      </c>
      <c r="E104" s="322">
        <f>+[6]BS17A!G1635</f>
        <v>0</v>
      </c>
      <c r="F104" s="323">
        <f>+[6]BS17A!V1635</f>
        <v>0</v>
      </c>
    </row>
    <row r="105" spans="1:6" ht="15" customHeight="1" x14ac:dyDescent="0.2">
      <c r="A105" s="435"/>
      <c r="B105" s="430" t="s">
        <v>164</v>
      </c>
      <c r="C105" s="421">
        <f>+[6]BS17A!D1634</f>
        <v>39</v>
      </c>
      <c r="D105" s="321">
        <f>+[6]BS17A!F1634</f>
        <v>0</v>
      </c>
      <c r="E105" s="322">
        <f>+[6]BS17A!G1634</f>
        <v>0</v>
      </c>
      <c r="F105" s="323">
        <f>+[6]BS17A!V1634</f>
        <v>5029050</v>
      </c>
    </row>
    <row r="106" spans="1:6" ht="15" customHeight="1" x14ac:dyDescent="0.2">
      <c r="A106" s="436"/>
      <c r="B106" s="444" t="s">
        <v>165</v>
      </c>
      <c r="C106" s="423">
        <f>+[6]BS17A!D1632+[6]BS17A!D1633</f>
        <v>31</v>
      </c>
      <c r="D106" s="328">
        <f>+[6]BS17A!F1632+[6]BS17A!F1633</f>
        <v>0</v>
      </c>
      <c r="E106" s="329">
        <f>+[6]BS17A!G1632+[6]BS17A!G1633</f>
        <v>0</v>
      </c>
      <c r="F106" s="330">
        <f>+[6]BS17A!V1632+[6]BS17A!V1633</f>
        <v>3021570</v>
      </c>
    </row>
    <row r="107" spans="1:6" ht="15" customHeight="1" x14ac:dyDescent="0.2">
      <c r="A107" s="472" t="s">
        <v>166</v>
      </c>
      <c r="B107" s="471" t="s">
        <v>167</v>
      </c>
      <c r="C107" s="424">
        <f>+[6]BS17!F82</f>
        <v>41</v>
      </c>
      <c r="D107" s="331">
        <f>+[6]BS17!G82</f>
        <v>1</v>
      </c>
      <c r="E107" s="332">
        <f>+[6]BS17!H82</f>
        <v>0</v>
      </c>
      <c r="F107" s="333">
        <f>+[6]BS17A!V1639</f>
        <v>8864520</v>
      </c>
    </row>
    <row r="108" spans="1:6" ht="15" customHeight="1" x14ac:dyDescent="0.2">
      <c r="A108" s="468">
        <v>2106</v>
      </c>
      <c r="B108" s="444" t="s">
        <v>168</v>
      </c>
      <c r="C108" s="423">
        <f>[6]BS17A!D1845</f>
        <v>5</v>
      </c>
      <c r="D108" s="328">
        <f>[6]BS17A!F1845</f>
        <v>0</v>
      </c>
      <c r="E108" s="329">
        <f>[6]BS17A!G1845</f>
        <v>0</v>
      </c>
      <c r="F108" s="330">
        <f>+[6]BS17A!V1845</f>
        <v>269650</v>
      </c>
    </row>
    <row r="109" spans="1:6" ht="15" customHeight="1" x14ac:dyDescent="0.2">
      <c r="A109" s="442"/>
      <c r="B109" s="441" t="s">
        <v>169</v>
      </c>
      <c r="C109" s="425">
        <f>SUM(C90:C108)-C103</f>
        <v>786</v>
      </c>
      <c r="D109" s="335">
        <f>SUM(D90:D108)-D103</f>
        <v>39</v>
      </c>
      <c r="E109" s="336">
        <f>+SUM(E90:E103)+E107+E108</f>
        <v>0</v>
      </c>
      <c r="F109" s="337">
        <f>+SUM(F90:F103)+F107+F108</f>
        <v>141468710</v>
      </c>
    </row>
    <row r="110" spans="1:6" ht="12.75" x14ac:dyDescent="0.2">
      <c r="A110" s="262"/>
      <c r="B110" s="262"/>
      <c r="C110" s="262"/>
      <c r="D110" s="262"/>
      <c r="E110" s="262"/>
      <c r="F110" s="259"/>
    </row>
    <row r="111" spans="1:6" ht="12.75" x14ac:dyDescent="0.2">
      <c r="A111" s="262"/>
      <c r="B111" s="262"/>
      <c r="C111" s="262"/>
      <c r="D111" s="262"/>
      <c r="E111" s="262"/>
      <c r="F111" s="259"/>
    </row>
    <row r="112" spans="1:6" ht="12.75" x14ac:dyDescent="0.2">
      <c r="A112" s="583" t="s">
        <v>170</v>
      </c>
      <c r="B112" s="584"/>
      <c r="C112" s="584"/>
      <c r="D112" s="584"/>
      <c r="E112" s="585"/>
      <c r="F112" s="259"/>
    </row>
    <row r="113" spans="1:6" ht="49.5" customHeight="1" x14ac:dyDescent="0.2">
      <c r="A113" s="264" t="s">
        <v>8</v>
      </c>
      <c r="B113" s="264" t="s">
        <v>9</v>
      </c>
      <c r="C113" s="487" t="s">
        <v>10</v>
      </c>
      <c r="D113" s="310" t="s">
        <v>11</v>
      </c>
      <c r="E113" s="489" t="s">
        <v>12</v>
      </c>
      <c r="F113" s="259"/>
    </row>
    <row r="114" spans="1:6" ht="15" customHeight="1" x14ac:dyDescent="0.2">
      <c r="A114" s="434" t="s">
        <v>171</v>
      </c>
      <c r="B114" s="429" t="s">
        <v>172</v>
      </c>
      <c r="C114" s="383">
        <f>+[6]BS17A!D1636</f>
        <v>83</v>
      </c>
      <c r="D114" s="338">
        <f>+[6]BS17A!U1636</f>
        <v>128940</v>
      </c>
      <c r="E114" s="339">
        <f>+[6]BS17A!V1636</f>
        <v>10702020</v>
      </c>
      <c r="F114" s="262"/>
    </row>
    <row r="115" spans="1:6" ht="15" customHeight="1" x14ac:dyDescent="0.2">
      <c r="A115" s="436" t="s">
        <v>173</v>
      </c>
      <c r="B115" s="465" t="s">
        <v>174</v>
      </c>
      <c r="C115" s="410">
        <f>+[6]BS17A!D1637</f>
        <v>6</v>
      </c>
      <c r="D115" s="340">
        <f>+[6]BS17A!U1637</f>
        <v>135670</v>
      </c>
      <c r="E115" s="315">
        <f>+[6]BS17A!V1637</f>
        <v>814020</v>
      </c>
      <c r="F115" s="262"/>
    </row>
    <row r="116" spans="1:6" ht="15" customHeight="1" x14ac:dyDescent="0.2">
      <c r="A116" s="316"/>
      <c r="B116" s="393" t="s">
        <v>175</v>
      </c>
      <c r="C116" s="316">
        <f>SUM(C114:C115)</f>
        <v>89</v>
      </c>
      <c r="D116" s="288"/>
      <c r="E116" s="317">
        <f>SUM(E114:E115)</f>
        <v>11516040</v>
      </c>
      <c r="F116" s="262"/>
    </row>
    <row r="117" spans="1:6" ht="12.75" x14ac:dyDescent="0.2">
      <c r="A117" s="262"/>
      <c r="B117" s="262"/>
      <c r="C117" s="262"/>
      <c r="D117" s="262"/>
      <c r="E117" s="262"/>
      <c r="F117" s="262"/>
    </row>
    <row r="118" spans="1:6" ht="12.75" x14ac:dyDescent="0.2">
      <c r="A118" s="262"/>
      <c r="B118" s="262"/>
      <c r="C118" s="262"/>
      <c r="D118" s="262"/>
      <c r="E118" s="262"/>
      <c r="F118" s="259"/>
    </row>
    <row r="119" spans="1:6" ht="12.75" x14ac:dyDescent="0.2">
      <c r="A119" s="608" t="s">
        <v>176</v>
      </c>
      <c r="B119" s="608"/>
      <c r="C119" s="608"/>
      <c r="D119" s="262"/>
      <c r="E119" s="262"/>
      <c r="F119" s="259"/>
    </row>
    <row r="120" spans="1:6" ht="38.25" customHeight="1" x14ac:dyDescent="0.2">
      <c r="A120" s="264" t="s">
        <v>8</v>
      </c>
      <c r="B120" s="264" t="s">
        <v>10</v>
      </c>
      <c r="C120" s="264" t="s">
        <v>12</v>
      </c>
      <c r="D120" s="262"/>
      <c r="E120" s="262"/>
      <c r="F120" s="262"/>
    </row>
    <row r="121" spans="1:6" ht="15" customHeight="1" x14ac:dyDescent="0.2">
      <c r="A121" s="341" t="s">
        <v>177</v>
      </c>
      <c r="B121" s="342" t="s">
        <v>178</v>
      </c>
      <c r="C121" s="343">
        <f>+[6]BS17A!V1871+[6]BS17A!V1889+[6]BS17A!V1914</f>
        <v>15309210</v>
      </c>
      <c r="D121" s="262"/>
      <c r="E121" s="262"/>
      <c r="F121" s="262"/>
    </row>
    <row r="122" spans="1:6" ht="12.75" x14ac:dyDescent="0.2">
      <c r="A122" s="262"/>
      <c r="B122" s="262"/>
      <c r="C122" s="262"/>
      <c r="D122" s="262"/>
      <c r="E122" s="259"/>
      <c r="F122" s="262"/>
    </row>
    <row r="123" spans="1:6" ht="12.75" x14ac:dyDescent="0.2">
      <c r="A123" s="262"/>
      <c r="B123" s="262"/>
      <c r="C123" s="262"/>
      <c r="D123" s="262"/>
      <c r="E123" s="259"/>
      <c r="F123" s="262"/>
    </row>
    <row r="124" spans="1:6" ht="12.75" x14ac:dyDescent="0.2">
      <c r="A124" s="583" t="s">
        <v>179</v>
      </c>
      <c r="B124" s="584"/>
      <c r="C124" s="584"/>
      <c r="D124" s="584"/>
      <c r="E124" s="585"/>
      <c r="F124" s="259"/>
    </row>
    <row r="125" spans="1:6" ht="45.75" customHeight="1" x14ac:dyDescent="0.2">
      <c r="A125" s="264" t="s">
        <v>8</v>
      </c>
      <c r="B125" s="264" t="s">
        <v>9</v>
      </c>
      <c r="C125" s="487" t="s">
        <v>10</v>
      </c>
      <c r="D125" s="310" t="s">
        <v>11</v>
      </c>
      <c r="E125" s="489" t="s">
        <v>12</v>
      </c>
      <c r="F125" s="259"/>
    </row>
    <row r="126" spans="1:6" ht="15" customHeight="1" x14ac:dyDescent="0.2">
      <c r="A126" s="434" t="s">
        <v>180</v>
      </c>
      <c r="B126" s="451" t="s">
        <v>181</v>
      </c>
      <c r="C126" s="383">
        <f>+[6]BS17A!$D59</f>
        <v>5233</v>
      </c>
      <c r="D126" s="275">
        <f>+[6]BS17A!$U59</f>
        <v>33020</v>
      </c>
      <c r="E126" s="344">
        <f>+[6]BS17A!$V59</f>
        <v>172793660</v>
      </c>
      <c r="F126" s="262"/>
    </row>
    <row r="127" spans="1:6" ht="15" customHeight="1" x14ac:dyDescent="0.2">
      <c r="A127" s="435" t="s">
        <v>182</v>
      </c>
      <c r="B127" s="431" t="s">
        <v>183</v>
      </c>
      <c r="C127" s="380">
        <f>+[6]BS17A!$D60</f>
        <v>0</v>
      </c>
      <c r="D127" s="270">
        <f>+[6]BS17A!$U60</f>
        <v>30400</v>
      </c>
      <c r="E127" s="345">
        <f>+[6]BS17A!$V60</f>
        <v>0</v>
      </c>
      <c r="F127" s="262"/>
    </row>
    <row r="128" spans="1:6" ht="15" customHeight="1" x14ac:dyDescent="0.2">
      <c r="A128" s="435" t="s">
        <v>184</v>
      </c>
      <c r="B128" s="431" t="s">
        <v>185</v>
      </c>
      <c r="C128" s="380">
        <f>+[6]BS17A!$D61</f>
        <v>0</v>
      </c>
      <c r="D128" s="270">
        <f>+[6]BS17A!$U61</f>
        <v>25340</v>
      </c>
      <c r="E128" s="345">
        <f>+[6]BS17A!$V61</f>
        <v>0</v>
      </c>
      <c r="F128" s="262"/>
    </row>
    <row r="129" spans="1:6" ht="15" customHeight="1" x14ac:dyDescent="0.2">
      <c r="A129" s="435" t="s">
        <v>186</v>
      </c>
      <c r="B129" s="431" t="s">
        <v>187</v>
      </c>
      <c r="C129" s="380">
        <f>SUM([6]BS17A!D62:D64)</f>
        <v>291</v>
      </c>
      <c r="D129" s="270">
        <f>+[6]BS17A!$U62</f>
        <v>137290</v>
      </c>
      <c r="E129" s="345">
        <f>SUM([6]BS17A!V62:V64)</f>
        <v>39951390</v>
      </c>
      <c r="F129" s="262"/>
    </row>
    <row r="130" spans="1:6" ht="15" customHeight="1" x14ac:dyDescent="0.2">
      <c r="A130" s="435" t="s">
        <v>188</v>
      </c>
      <c r="B130" s="431" t="s">
        <v>189</v>
      </c>
      <c r="C130" s="380">
        <f>SUM([6]BS17A!D65:D67)</f>
        <v>253</v>
      </c>
      <c r="D130" s="270">
        <f>+[6]BS17A!$U65</f>
        <v>66300</v>
      </c>
      <c r="E130" s="345">
        <f>SUM([6]BS17A!V65:V67)</f>
        <v>16773900</v>
      </c>
      <c r="F130" s="262"/>
    </row>
    <row r="131" spans="1:6" ht="15" customHeight="1" x14ac:dyDescent="0.2">
      <c r="A131" s="435" t="s">
        <v>190</v>
      </c>
      <c r="B131" s="431" t="s">
        <v>191</v>
      </c>
      <c r="C131" s="380">
        <f>+[6]BS17A!D68</f>
        <v>243</v>
      </c>
      <c r="D131" s="270">
        <f>+[6]BS17A!$U68</f>
        <v>59490</v>
      </c>
      <c r="E131" s="345">
        <f>+[6]BS17A!$V68</f>
        <v>14456070</v>
      </c>
      <c r="F131" s="262"/>
    </row>
    <row r="132" spans="1:6" ht="15" customHeight="1" x14ac:dyDescent="0.2">
      <c r="A132" s="435" t="s">
        <v>192</v>
      </c>
      <c r="B132" s="431" t="s">
        <v>193</v>
      </c>
      <c r="C132" s="380">
        <f>+[6]BS17A!$D69</f>
        <v>0</v>
      </c>
      <c r="D132" s="270">
        <f>+[6]BS17A!$U69</f>
        <v>16880</v>
      </c>
      <c r="E132" s="345">
        <f>+[6]BS17A!$V69</f>
        <v>0</v>
      </c>
      <c r="F132" s="262"/>
    </row>
    <row r="133" spans="1:6" ht="15" customHeight="1" x14ac:dyDescent="0.2">
      <c r="A133" s="435" t="s">
        <v>194</v>
      </c>
      <c r="B133" s="431" t="s">
        <v>195</v>
      </c>
      <c r="C133" s="380">
        <f>+[6]BS17A!$D70</f>
        <v>0</v>
      </c>
      <c r="D133" s="270">
        <f>+[6]BS17A!$U70</f>
        <v>26450</v>
      </c>
      <c r="E133" s="345">
        <f>+[6]BS17A!$V70</f>
        <v>0</v>
      </c>
      <c r="F133" s="262"/>
    </row>
    <row r="134" spans="1:6" ht="15" customHeight="1" x14ac:dyDescent="0.2">
      <c r="A134" s="435" t="s">
        <v>196</v>
      </c>
      <c r="B134" s="431" t="s">
        <v>197</v>
      </c>
      <c r="C134" s="380">
        <f>+[6]BS17A!$D73</f>
        <v>0</v>
      </c>
      <c r="D134" s="270">
        <f>+[6]BS17A!$U73</f>
        <v>26670</v>
      </c>
      <c r="E134" s="345">
        <f>+[6]BS17A!$V73</f>
        <v>0</v>
      </c>
      <c r="F134" s="262"/>
    </row>
    <row r="135" spans="1:6" ht="15" customHeight="1" x14ac:dyDescent="0.2">
      <c r="A135" s="435" t="s">
        <v>198</v>
      </c>
      <c r="B135" s="431" t="s">
        <v>199</v>
      </c>
      <c r="C135" s="380">
        <f>+[6]BS17A!$D71</f>
        <v>0</v>
      </c>
      <c r="D135" s="270">
        <f>+[6]BS17A!$U71</f>
        <v>27530</v>
      </c>
      <c r="E135" s="345">
        <f>+[6]BS17A!$V71</f>
        <v>0</v>
      </c>
      <c r="F135" s="262"/>
    </row>
    <row r="136" spans="1:6" ht="15" customHeight="1" x14ac:dyDescent="0.2">
      <c r="A136" s="435" t="s">
        <v>200</v>
      </c>
      <c r="B136" s="431" t="s">
        <v>201</v>
      </c>
      <c r="C136" s="380">
        <f>+[6]BS17A!$D76</f>
        <v>0</v>
      </c>
      <c r="D136" s="270">
        <f>+[6]BS17A!$U76</f>
        <v>33020</v>
      </c>
      <c r="E136" s="345">
        <f>+[6]BS17A!$V76</f>
        <v>0</v>
      </c>
      <c r="F136" s="262"/>
    </row>
    <row r="137" spans="1:6" ht="15" customHeight="1" x14ac:dyDescent="0.2">
      <c r="A137" s="435" t="s">
        <v>202</v>
      </c>
      <c r="B137" s="430" t="s">
        <v>203</v>
      </c>
      <c r="C137" s="380">
        <f>+[6]BS17A!$D79</f>
        <v>29</v>
      </c>
      <c r="D137" s="270">
        <f>+[6]BS17A!$U79</f>
        <v>6410</v>
      </c>
      <c r="E137" s="345">
        <f>+[6]BS17A!$V79</f>
        <v>185890</v>
      </c>
      <c r="F137" s="262"/>
    </row>
    <row r="138" spans="1:6" ht="15" customHeight="1" x14ac:dyDescent="0.2">
      <c r="A138" s="435" t="s">
        <v>204</v>
      </c>
      <c r="B138" s="430" t="s">
        <v>205</v>
      </c>
      <c r="C138" s="380">
        <f>+[6]BS17A!$D80</f>
        <v>0</v>
      </c>
      <c r="D138" s="270">
        <f>+[6]BS17A!$U80</f>
        <v>46280</v>
      </c>
      <c r="E138" s="345">
        <f>+[6]BS17A!$V80</f>
        <v>0</v>
      </c>
      <c r="F138" s="262"/>
    </row>
    <row r="139" spans="1:6" ht="15" customHeight="1" x14ac:dyDescent="0.2">
      <c r="A139" s="436"/>
      <c r="B139" s="469" t="s">
        <v>206</v>
      </c>
      <c r="C139" s="419">
        <f>SUM(C126:C138)</f>
        <v>6049</v>
      </c>
      <c r="D139" s="346"/>
      <c r="E139" s="347">
        <f>SUM(E126:E138)</f>
        <v>244160910</v>
      </c>
      <c r="F139" s="262"/>
    </row>
    <row r="140" spans="1:6" ht="15" customHeight="1" x14ac:dyDescent="0.2">
      <c r="A140" s="434"/>
      <c r="B140" s="470" t="s">
        <v>207</v>
      </c>
      <c r="C140" s="383"/>
      <c r="D140" s="275"/>
      <c r="E140" s="344"/>
      <c r="F140" s="262"/>
    </row>
    <row r="141" spans="1:6" ht="15" customHeight="1" x14ac:dyDescent="0.2">
      <c r="A141" s="435" t="s">
        <v>208</v>
      </c>
      <c r="B141" s="431" t="s">
        <v>209</v>
      </c>
      <c r="C141" s="380">
        <f>+[6]BS17A!$D72</f>
        <v>0</v>
      </c>
      <c r="D141" s="270">
        <f>+[6]BS17A!$U72</f>
        <v>11100</v>
      </c>
      <c r="E141" s="345">
        <f>+[6]BS17A!$V72</f>
        <v>0</v>
      </c>
      <c r="F141" s="262"/>
    </row>
    <row r="142" spans="1:6" ht="15" customHeight="1" x14ac:dyDescent="0.2">
      <c r="A142" s="435" t="s">
        <v>210</v>
      </c>
      <c r="B142" s="431" t="s">
        <v>211</v>
      </c>
      <c r="C142" s="380">
        <f>+[6]BS17A!$D74</f>
        <v>0</v>
      </c>
      <c r="D142" s="270">
        <f>+[6]BS17A!$U74</f>
        <v>11100</v>
      </c>
      <c r="E142" s="345">
        <f>+[6]BS17A!$V74</f>
        <v>0</v>
      </c>
      <c r="F142" s="262"/>
    </row>
    <row r="143" spans="1:6" ht="15" customHeight="1" x14ac:dyDescent="0.2">
      <c r="A143" s="435" t="s">
        <v>212</v>
      </c>
      <c r="B143" s="431" t="s">
        <v>213</v>
      </c>
      <c r="C143" s="380">
        <f>+[6]BS17A!$D75</f>
        <v>0</v>
      </c>
      <c r="D143" s="270">
        <f>+[6]BS17A!$U75</f>
        <v>4890</v>
      </c>
      <c r="E143" s="345">
        <f>+[6]BS17A!$V75</f>
        <v>0</v>
      </c>
      <c r="F143" s="262"/>
    </row>
    <row r="144" spans="1:6" ht="15" customHeight="1" x14ac:dyDescent="0.2">
      <c r="A144" s="435" t="s">
        <v>214</v>
      </c>
      <c r="B144" s="431" t="s">
        <v>215</v>
      </c>
      <c r="C144" s="380">
        <f>+[6]BS17A!$D77</f>
        <v>0</v>
      </c>
      <c r="D144" s="270">
        <f>+[6]BS17A!$U77</f>
        <v>89270</v>
      </c>
      <c r="E144" s="345">
        <f>+[6]BS17A!$V77</f>
        <v>0</v>
      </c>
      <c r="F144" s="262"/>
    </row>
    <row r="145" spans="1:6" ht="15" customHeight="1" x14ac:dyDescent="0.2">
      <c r="A145" s="435" t="s">
        <v>216</v>
      </c>
      <c r="B145" s="431" t="s">
        <v>217</v>
      </c>
      <c r="C145" s="380">
        <f>+[6]BS17A!$D78</f>
        <v>0</v>
      </c>
      <c r="D145" s="270">
        <f>+[6]BS17A!$U78</f>
        <v>10540</v>
      </c>
      <c r="E145" s="345">
        <f>+[6]BS17A!$V78</f>
        <v>0</v>
      </c>
      <c r="F145" s="262"/>
    </row>
    <row r="146" spans="1:6" ht="15" customHeight="1" x14ac:dyDescent="0.2">
      <c r="A146" s="435" t="s">
        <v>218</v>
      </c>
      <c r="B146" s="431" t="s">
        <v>219</v>
      </c>
      <c r="C146" s="380">
        <f>+[6]BS17A!$D81</f>
        <v>0</v>
      </c>
      <c r="D146" s="270">
        <f>+[6]BS17A!$U81</f>
        <v>8120</v>
      </c>
      <c r="E146" s="345">
        <f>+[6]BS17A!$V81</f>
        <v>0</v>
      </c>
      <c r="F146" s="262"/>
    </row>
    <row r="147" spans="1:6" ht="15" customHeight="1" x14ac:dyDescent="0.2">
      <c r="A147" s="436"/>
      <c r="B147" s="469" t="s">
        <v>220</v>
      </c>
      <c r="C147" s="419">
        <f>SUM(C141:C146)</f>
        <v>0</v>
      </c>
      <c r="D147" s="346"/>
      <c r="E147" s="347">
        <f>SUM(E141:E146)</f>
        <v>0</v>
      </c>
      <c r="F147" s="262"/>
    </row>
    <row r="148" spans="1:6" ht="15" customHeight="1" x14ac:dyDescent="0.2">
      <c r="A148" s="442"/>
      <c r="B148" s="441" t="s">
        <v>221</v>
      </c>
      <c r="C148" s="279">
        <f>+C139+C147</f>
        <v>6049</v>
      </c>
      <c r="D148" s="348"/>
      <c r="E148" s="349">
        <f>+E139+E147</f>
        <v>244160910</v>
      </c>
      <c r="F148" s="262"/>
    </row>
    <row r="149" spans="1:6" ht="12.75" x14ac:dyDescent="0.2">
      <c r="A149" s="262"/>
      <c r="B149" s="262"/>
      <c r="C149" s="262"/>
      <c r="D149" s="262"/>
      <c r="E149" s="262"/>
      <c r="F149" s="262"/>
    </row>
    <row r="150" spans="1:6" ht="12.75" x14ac:dyDescent="0.2">
      <c r="A150" s="262"/>
      <c r="B150" s="262"/>
      <c r="C150" s="262"/>
      <c r="D150" s="262"/>
      <c r="E150" s="262"/>
      <c r="F150" s="259"/>
    </row>
    <row r="151" spans="1:6" ht="12.75" x14ac:dyDescent="0.2">
      <c r="A151" s="597" t="s">
        <v>222</v>
      </c>
      <c r="B151" s="598"/>
      <c r="C151" s="598"/>
      <c r="D151" s="598"/>
      <c r="E151" s="599"/>
      <c r="F151" s="259"/>
    </row>
    <row r="152" spans="1:6" ht="47.25" customHeight="1" x14ac:dyDescent="0.2">
      <c r="A152" s="264" t="s">
        <v>8</v>
      </c>
      <c r="B152" s="264" t="s">
        <v>9</v>
      </c>
      <c r="C152" s="487" t="s">
        <v>10</v>
      </c>
      <c r="D152" s="310" t="s">
        <v>11</v>
      </c>
      <c r="E152" s="489" t="s">
        <v>12</v>
      </c>
      <c r="F152" s="262"/>
    </row>
    <row r="153" spans="1:6" ht="15" customHeight="1" x14ac:dyDescent="0.2">
      <c r="A153" s="434" t="s">
        <v>223</v>
      </c>
      <c r="B153" s="451" t="s">
        <v>224</v>
      </c>
      <c r="C153" s="383">
        <f>+[6]BS17A!D43</f>
        <v>273</v>
      </c>
      <c r="D153" s="275">
        <f>[6]BS17A!U43</f>
        <v>760</v>
      </c>
      <c r="E153" s="344">
        <f>+[6]BS17A!V43</f>
        <v>207480</v>
      </c>
      <c r="F153" s="262"/>
    </row>
    <row r="154" spans="1:6" ht="15" customHeight="1" x14ac:dyDescent="0.2">
      <c r="A154" s="436" t="s">
        <v>225</v>
      </c>
      <c r="B154" s="432" t="s">
        <v>226</v>
      </c>
      <c r="C154" s="395">
        <f>+[6]BS17A!D44+[6]BS17A!D45</f>
        <v>0</v>
      </c>
      <c r="D154" s="277">
        <f>[6]BS17A!U44</f>
        <v>100</v>
      </c>
      <c r="E154" s="350">
        <f>+[6]BS17A!V44+[6]BS17A!V45</f>
        <v>0</v>
      </c>
      <c r="F154" s="262"/>
    </row>
    <row r="155" spans="1:6" ht="15" customHeight="1" x14ac:dyDescent="0.2">
      <c r="A155" s="442"/>
      <c r="B155" s="441" t="s">
        <v>227</v>
      </c>
      <c r="C155" s="279">
        <f>SUM(C153:C154)</f>
        <v>273</v>
      </c>
      <c r="D155" s="348"/>
      <c r="E155" s="349">
        <f>SUM(E153:E154)</f>
        <v>207480</v>
      </c>
      <c r="F155" s="262"/>
    </row>
    <row r="156" spans="1:6" ht="12.75" x14ac:dyDescent="0.2">
      <c r="A156" s="262"/>
      <c r="B156" s="262"/>
      <c r="C156" s="262"/>
      <c r="D156" s="262"/>
      <c r="E156" s="262"/>
      <c r="F156" s="262"/>
    </row>
    <row r="157" spans="1:6" ht="12.75" x14ac:dyDescent="0.2">
      <c r="A157" s="262"/>
      <c r="B157" s="262"/>
      <c r="C157" s="262"/>
      <c r="D157" s="262"/>
      <c r="E157" s="262"/>
      <c r="F157" s="262"/>
    </row>
    <row r="158" spans="1:6" ht="18" customHeight="1" x14ac:dyDescent="0.2">
      <c r="A158" s="597" t="s">
        <v>228</v>
      </c>
      <c r="B158" s="598"/>
      <c r="C158" s="598"/>
      <c r="D158" s="598"/>
      <c r="E158" s="599"/>
      <c r="F158" s="259"/>
    </row>
    <row r="159" spans="1:6" ht="47.25" customHeight="1" x14ac:dyDescent="0.2">
      <c r="A159" s="264" t="s">
        <v>8</v>
      </c>
      <c r="B159" s="264" t="s">
        <v>9</v>
      </c>
      <c r="C159" s="487" t="s">
        <v>10</v>
      </c>
      <c r="D159" s="310" t="s">
        <v>11</v>
      </c>
      <c r="E159" s="489" t="s">
        <v>12</v>
      </c>
      <c r="F159" s="262"/>
    </row>
    <row r="160" spans="1:6" ht="15" customHeight="1" x14ac:dyDescent="0.2">
      <c r="A160" s="434" t="s">
        <v>229</v>
      </c>
      <c r="B160" s="429" t="s">
        <v>230</v>
      </c>
      <c r="C160" s="414">
        <f>+[6]BS17A!$D1481</f>
        <v>0</v>
      </c>
      <c r="D160" s="275">
        <f>+[6]BS17A!$U1481</f>
        <v>41580</v>
      </c>
      <c r="E160" s="344">
        <f>+[6]BS17A!$V1481</f>
        <v>0</v>
      </c>
      <c r="F160" s="262"/>
    </row>
    <row r="161" spans="1:6" ht="15" customHeight="1" x14ac:dyDescent="0.2">
      <c r="A161" s="435" t="s">
        <v>231</v>
      </c>
      <c r="B161" s="431" t="s">
        <v>232</v>
      </c>
      <c r="C161" s="418">
        <f>+[6]BS17A!$D1482</f>
        <v>0</v>
      </c>
      <c r="D161" s="270">
        <f>+[6]BS17A!$U1482</f>
        <v>26150</v>
      </c>
      <c r="E161" s="345">
        <f>+[6]BS17A!$V1482</f>
        <v>0</v>
      </c>
      <c r="F161" s="262"/>
    </row>
    <row r="162" spans="1:6" ht="15" customHeight="1" x14ac:dyDescent="0.2">
      <c r="A162" s="435" t="s">
        <v>233</v>
      </c>
      <c r="B162" s="430" t="s">
        <v>234</v>
      </c>
      <c r="C162" s="418">
        <f>+[6]BS17A!$D1483</f>
        <v>0</v>
      </c>
      <c r="D162" s="270">
        <f>+[6]BS17A!$U1483</f>
        <v>26930</v>
      </c>
      <c r="E162" s="345">
        <f>+[6]BS17A!$V1483</f>
        <v>0</v>
      </c>
      <c r="F162" s="262"/>
    </row>
    <row r="163" spans="1:6" ht="15" customHeight="1" x14ac:dyDescent="0.2">
      <c r="A163" s="435" t="s">
        <v>235</v>
      </c>
      <c r="B163" s="431" t="s">
        <v>236</v>
      </c>
      <c r="C163" s="418">
        <f>+[6]BS17A!$D1484</f>
        <v>0</v>
      </c>
      <c r="D163" s="270">
        <f>+[6]BS17A!$U1484</f>
        <v>808040</v>
      </c>
      <c r="E163" s="345">
        <f>+[6]BS17A!$V1484</f>
        <v>0</v>
      </c>
      <c r="F163" s="262"/>
    </row>
    <row r="164" spans="1:6" ht="15" customHeight="1" x14ac:dyDescent="0.2">
      <c r="A164" s="435" t="s">
        <v>237</v>
      </c>
      <c r="B164" s="431" t="s">
        <v>238</v>
      </c>
      <c r="C164" s="418">
        <f>+[6]BS17A!$D1485</f>
        <v>0</v>
      </c>
      <c r="D164" s="270">
        <f>+[6]BS17A!$U1485</f>
        <v>367020</v>
      </c>
      <c r="E164" s="345">
        <f>+[6]BS17A!$V1485</f>
        <v>0</v>
      </c>
      <c r="F164" s="262"/>
    </row>
    <row r="165" spans="1:6" ht="15" customHeight="1" x14ac:dyDescent="0.2">
      <c r="A165" s="435" t="s">
        <v>239</v>
      </c>
      <c r="B165" s="431" t="s">
        <v>240</v>
      </c>
      <c r="C165" s="418">
        <f>+[6]BS17A!$D1486</f>
        <v>0</v>
      </c>
      <c r="D165" s="270">
        <f>+[6]BS17A!$U1486</f>
        <v>561210</v>
      </c>
      <c r="E165" s="345">
        <f>+[6]BS17A!$V1486</f>
        <v>0</v>
      </c>
      <c r="F165" s="262"/>
    </row>
    <row r="166" spans="1:6" ht="15" customHeight="1" x14ac:dyDescent="0.2">
      <c r="A166" s="467" t="s">
        <v>241</v>
      </c>
      <c r="B166" s="465" t="s">
        <v>242</v>
      </c>
      <c r="C166" s="418">
        <f>+[6]BS17A!$D1487</f>
        <v>0</v>
      </c>
      <c r="D166" s="270">
        <f>+[6]BS17A!$U1487</f>
        <v>50600</v>
      </c>
      <c r="E166" s="345">
        <f>+[6]BS17A!$V1487</f>
        <v>0</v>
      </c>
      <c r="F166" s="262"/>
    </row>
    <row r="167" spans="1:6" ht="15" customHeight="1" x14ac:dyDescent="0.2">
      <c r="A167" s="468">
        <v>1901029</v>
      </c>
      <c r="B167" s="466" t="s">
        <v>243</v>
      </c>
      <c r="C167" s="415">
        <f>+[6]BS17A!$D1488</f>
        <v>0</v>
      </c>
      <c r="D167" s="277">
        <f>+[6]BS17A!$U1488</f>
        <v>657830</v>
      </c>
      <c r="E167" s="350">
        <f>+[6]BS17A!$V1488</f>
        <v>0</v>
      </c>
      <c r="F167" s="262"/>
    </row>
    <row r="168" spans="1:6" ht="15" customHeight="1" x14ac:dyDescent="0.2">
      <c r="A168" s="334"/>
      <c r="B168" s="351" t="s">
        <v>244</v>
      </c>
      <c r="C168" s="352">
        <f>SUM(C160:C167)</f>
        <v>0</v>
      </c>
      <c r="D168" s="353"/>
      <c r="E168" s="354">
        <f>SUM(E160:E167)</f>
        <v>0</v>
      </c>
      <c r="F168" s="262"/>
    </row>
    <row r="169" spans="1:6" ht="12.75" x14ac:dyDescent="0.2">
      <c r="A169" s="262"/>
      <c r="B169" s="262"/>
      <c r="C169" s="262"/>
      <c r="D169" s="262"/>
      <c r="E169" s="262"/>
      <c r="F169" s="262"/>
    </row>
    <row r="170" spans="1:6" ht="18" customHeight="1" x14ac:dyDescent="0.2">
      <c r="A170" s="262"/>
      <c r="B170" s="262"/>
      <c r="C170" s="262"/>
      <c r="D170" s="262"/>
      <c r="E170" s="262"/>
      <c r="F170" s="262"/>
    </row>
    <row r="171" spans="1:6" ht="18" customHeight="1" x14ac:dyDescent="0.2">
      <c r="A171" s="583" t="s">
        <v>245</v>
      </c>
      <c r="B171" s="584"/>
      <c r="C171" s="584"/>
      <c r="D171" s="584"/>
      <c r="E171" s="585"/>
      <c r="F171" s="259"/>
    </row>
    <row r="172" spans="1:6" ht="46.5" customHeight="1" x14ac:dyDescent="0.2">
      <c r="A172" s="264" t="s">
        <v>8</v>
      </c>
      <c r="B172" s="264" t="s">
        <v>9</v>
      </c>
      <c r="C172" s="487" t="s">
        <v>10</v>
      </c>
      <c r="D172" s="310" t="s">
        <v>11</v>
      </c>
      <c r="E172" s="489" t="s">
        <v>12</v>
      </c>
      <c r="F172" s="262"/>
    </row>
    <row r="173" spans="1:6" ht="12.75" customHeight="1" x14ac:dyDescent="0.2">
      <c r="A173" s="463">
        <v>1101004</v>
      </c>
      <c r="B173" s="458" t="s">
        <v>246</v>
      </c>
      <c r="C173" s="383">
        <f>+[6]BS17A!$D805</f>
        <v>17</v>
      </c>
      <c r="D173" s="275">
        <f>+[6]BS17A!$U805</f>
        <v>14260</v>
      </c>
      <c r="E173" s="344">
        <f>+[6]BS17A!$V805</f>
        <v>242420</v>
      </c>
      <c r="F173" s="262"/>
    </row>
    <row r="174" spans="1:6" ht="12.75" customHeight="1" x14ac:dyDescent="0.2">
      <c r="A174" s="457">
        <v>1101006</v>
      </c>
      <c r="B174" s="459" t="s">
        <v>247</v>
      </c>
      <c r="C174" s="380">
        <f>+[6]BS17A!$D806</f>
        <v>0</v>
      </c>
      <c r="D174" s="270">
        <f>+[6]BS17A!$U806</f>
        <v>11400</v>
      </c>
      <c r="E174" s="345">
        <f>+[6]BS17A!$V806</f>
        <v>0</v>
      </c>
      <c r="F174" s="262"/>
    </row>
    <row r="175" spans="1:6" ht="24.75" customHeight="1" x14ac:dyDescent="0.2">
      <c r="A175" s="457" t="s">
        <v>248</v>
      </c>
      <c r="B175" s="460" t="s">
        <v>249</v>
      </c>
      <c r="C175" s="380">
        <f>+[6]BS17A!$D1197</f>
        <v>625</v>
      </c>
      <c r="D175" s="270">
        <f>+[6]BS17A!$U1197</f>
        <v>4880</v>
      </c>
      <c r="E175" s="345">
        <f>+[6]BS17A!$V1197</f>
        <v>3050000</v>
      </c>
      <c r="F175" s="262"/>
    </row>
    <row r="176" spans="1:6" ht="24.75" customHeight="1" x14ac:dyDescent="0.2">
      <c r="A176" s="457" t="s">
        <v>250</v>
      </c>
      <c r="B176" s="460" t="s">
        <v>251</v>
      </c>
      <c r="C176" s="380">
        <f>+[6]BS17A!$D1198</f>
        <v>9</v>
      </c>
      <c r="D176" s="270">
        <f>+[6]BS17A!$U1198</f>
        <v>13770</v>
      </c>
      <c r="E176" s="345">
        <f>+[6]BS17A!$V1198</f>
        <v>123930</v>
      </c>
      <c r="F176" s="262"/>
    </row>
    <row r="177" spans="1:6" ht="24.75" customHeight="1" x14ac:dyDescent="0.2">
      <c r="A177" s="457" t="s">
        <v>252</v>
      </c>
      <c r="B177" s="460" t="s">
        <v>253</v>
      </c>
      <c r="C177" s="380">
        <f>+[6]BS17A!$D1199</f>
        <v>39</v>
      </c>
      <c r="D177" s="270">
        <f>+[6]BS17A!$U1199</f>
        <v>23350</v>
      </c>
      <c r="E177" s="345">
        <f>+[6]BS17A!$V1199</f>
        <v>910650</v>
      </c>
      <c r="F177" s="262"/>
    </row>
    <row r="178" spans="1:6" ht="12.75" customHeight="1" x14ac:dyDescent="0.2">
      <c r="A178" s="457" t="s">
        <v>254</v>
      </c>
      <c r="B178" s="460" t="s">
        <v>255</v>
      </c>
      <c r="C178" s="380">
        <f>+[6]BS17A!$D1200</f>
        <v>0</v>
      </c>
      <c r="D178" s="270">
        <f>+[6]BS17A!$U1200</f>
        <v>44580</v>
      </c>
      <c r="E178" s="345">
        <f>+[6]BS17A!$V1200</f>
        <v>0</v>
      </c>
      <c r="F178" s="262"/>
    </row>
    <row r="179" spans="1:6" ht="12.75" customHeight="1" x14ac:dyDescent="0.2">
      <c r="A179" s="457" t="s">
        <v>256</v>
      </c>
      <c r="B179" s="460" t="s">
        <v>257</v>
      </c>
      <c r="C179" s="380">
        <f>+[6]BS17A!$D1201</f>
        <v>150</v>
      </c>
      <c r="D179" s="270">
        <f>+[6]BS17A!$U1201</f>
        <v>49690</v>
      </c>
      <c r="E179" s="345">
        <f>+[6]BS17A!$V1201</f>
        <v>7453500</v>
      </c>
      <c r="F179" s="262"/>
    </row>
    <row r="180" spans="1:6" ht="24.75" customHeight="1" x14ac:dyDescent="0.2">
      <c r="A180" s="457" t="s">
        <v>258</v>
      </c>
      <c r="B180" s="460" t="s">
        <v>259</v>
      </c>
      <c r="C180" s="380">
        <f>+[6]BS17A!$D1202</f>
        <v>0</v>
      </c>
      <c r="D180" s="270">
        <f>+[6]BS17A!$U1202</f>
        <v>27870</v>
      </c>
      <c r="E180" s="345">
        <f>+[6]BS17A!$V1202</f>
        <v>0</v>
      </c>
      <c r="F180" s="262"/>
    </row>
    <row r="181" spans="1:6" ht="12.75" customHeight="1" x14ac:dyDescent="0.2">
      <c r="A181" s="457" t="s">
        <v>260</v>
      </c>
      <c r="B181" s="461" t="s">
        <v>261</v>
      </c>
      <c r="C181" s="380">
        <f>+[6]BS17A!$D1203</f>
        <v>0</v>
      </c>
      <c r="D181" s="270">
        <f>+[6]BS17A!$U1203</f>
        <v>215630</v>
      </c>
      <c r="E181" s="345">
        <f>+[6]BS17A!$V1203</f>
        <v>0</v>
      </c>
      <c r="F181" s="262"/>
    </row>
    <row r="182" spans="1:6" ht="12.75" customHeight="1" x14ac:dyDescent="0.2">
      <c r="A182" s="457" t="s">
        <v>262</v>
      </c>
      <c r="B182" s="460" t="s">
        <v>263</v>
      </c>
      <c r="C182" s="380">
        <f>+[6]BS17A!$D1204</f>
        <v>0</v>
      </c>
      <c r="D182" s="270">
        <f>+[6]BS17A!$U1204</f>
        <v>245140</v>
      </c>
      <c r="E182" s="345">
        <f>+[6]BS17A!$V1204</f>
        <v>0</v>
      </c>
      <c r="F182" s="262"/>
    </row>
    <row r="183" spans="1:6" ht="12.75" customHeight="1" x14ac:dyDescent="0.2">
      <c r="A183" s="457" t="s">
        <v>264</v>
      </c>
      <c r="B183" s="460" t="s">
        <v>265</v>
      </c>
      <c r="C183" s="380">
        <f>+[6]BS17A!$D1205</f>
        <v>0</v>
      </c>
      <c r="D183" s="270">
        <f>+[6]BS17A!$U1205</f>
        <v>199900</v>
      </c>
      <c r="E183" s="345">
        <f>+[6]BS17A!$V1205</f>
        <v>0</v>
      </c>
      <c r="F183" s="262"/>
    </row>
    <row r="184" spans="1:6" ht="24.75" customHeight="1" x14ac:dyDescent="0.2">
      <c r="A184" s="457" t="s">
        <v>266</v>
      </c>
      <c r="B184" s="461" t="s">
        <v>267</v>
      </c>
      <c r="C184" s="380">
        <f>+[6]BS17A!$D1206</f>
        <v>0</v>
      </c>
      <c r="D184" s="270">
        <f>+[6]BS17A!$U1206</f>
        <v>256770</v>
      </c>
      <c r="E184" s="345">
        <f>+[6]BS17A!$V1206</f>
        <v>0</v>
      </c>
      <c r="F184" s="262"/>
    </row>
    <row r="185" spans="1:6" ht="24.75" customHeight="1" x14ac:dyDescent="0.2">
      <c r="A185" s="457" t="s">
        <v>268</v>
      </c>
      <c r="B185" s="461" t="s">
        <v>269</v>
      </c>
      <c r="C185" s="380">
        <f>+[6]BS17A!$D1207</f>
        <v>0</v>
      </c>
      <c r="D185" s="270">
        <f>+[6]BS17A!$U1207</f>
        <v>262730</v>
      </c>
      <c r="E185" s="345">
        <f>+[6]BS17A!$V1207</f>
        <v>0</v>
      </c>
      <c r="F185" s="262"/>
    </row>
    <row r="186" spans="1:6" ht="24.75" customHeight="1" x14ac:dyDescent="0.2">
      <c r="A186" s="457" t="s">
        <v>270</v>
      </c>
      <c r="B186" s="461" t="s">
        <v>271</v>
      </c>
      <c r="C186" s="380">
        <f>+[6]BS17A!$D1208</f>
        <v>0</v>
      </c>
      <c r="D186" s="270">
        <f>+[6]BS17A!$U1208</f>
        <v>222180</v>
      </c>
      <c r="E186" s="345">
        <f>+[6]BS17A!$V1208</f>
        <v>0</v>
      </c>
      <c r="F186" s="262"/>
    </row>
    <row r="187" spans="1:6" ht="12.75" customHeight="1" x14ac:dyDescent="0.2">
      <c r="A187" s="457" t="s">
        <v>272</v>
      </c>
      <c r="B187" s="461" t="s">
        <v>273</v>
      </c>
      <c r="C187" s="380">
        <f>+[6]BS17A!$D1209</f>
        <v>0</v>
      </c>
      <c r="D187" s="270">
        <f>+[6]BS17A!$U1209</f>
        <v>237160</v>
      </c>
      <c r="E187" s="345">
        <f>+[6]BS17A!$V1209</f>
        <v>0</v>
      </c>
      <c r="F187" s="262"/>
    </row>
    <row r="188" spans="1:6" ht="12.75" customHeight="1" x14ac:dyDescent="0.2">
      <c r="A188" s="457" t="s">
        <v>274</v>
      </c>
      <c r="B188" s="461" t="s">
        <v>275</v>
      </c>
      <c r="C188" s="380">
        <f>+[6]BS17A!$D1210</f>
        <v>0</v>
      </c>
      <c r="D188" s="270">
        <f>+[6]BS17A!$U1210</f>
        <v>283580</v>
      </c>
      <c r="E188" s="345">
        <f>+[6]BS17A!$V1210</f>
        <v>0</v>
      </c>
      <c r="F188" s="262"/>
    </row>
    <row r="189" spans="1:6" ht="24.75" customHeight="1" x14ac:dyDescent="0.2">
      <c r="A189" s="457" t="s">
        <v>276</v>
      </c>
      <c r="B189" s="460" t="s">
        <v>277</v>
      </c>
      <c r="C189" s="380">
        <f>+[6]BS17A!$D1211</f>
        <v>0</v>
      </c>
      <c r="D189" s="270">
        <f>+[6]BS17A!$U1211</f>
        <v>251470</v>
      </c>
      <c r="E189" s="345">
        <f>+[6]BS17A!$V1211</f>
        <v>0</v>
      </c>
      <c r="F189" s="262"/>
    </row>
    <row r="190" spans="1:6" ht="24.75" customHeight="1" x14ac:dyDescent="0.2">
      <c r="A190" s="457" t="s">
        <v>278</v>
      </c>
      <c r="B190" s="461" t="s">
        <v>279</v>
      </c>
      <c r="C190" s="380">
        <f>+[6]BS17A!$D1212</f>
        <v>0</v>
      </c>
      <c r="D190" s="270">
        <f>+[6]BS17A!$U1212</f>
        <v>1840310</v>
      </c>
      <c r="E190" s="345">
        <f>+[6]BS17A!$V1212</f>
        <v>0</v>
      </c>
      <c r="F190" s="262"/>
    </row>
    <row r="191" spans="1:6" ht="12.75" customHeight="1" x14ac:dyDescent="0.2">
      <c r="A191" s="457" t="s">
        <v>280</v>
      </c>
      <c r="B191" s="461" t="s">
        <v>281</v>
      </c>
      <c r="C191" s="380">
        <f>+[6]BS17A!$D1213</f>
        <v>0</v>
      </c>
      <c r="D191" s="270">
        <f>+[6]BS17A!$U1213</f>
        <v>1149460</v>
      </c>
      <c r="E191" s="345">
        <f>+[6]BS17A!$V1213</f>
        <v>0</v>
      </c>
      <c r="F191" s="262"/>
    </row>
    <row r="192" spans="1:6" ht="12.75" customHeight="1" x14ac:dyDescent="0.2">
      <c r="A192" s="435" t="s">
        <v>282</v>
      </c>
      <c r="B192" s="461" t="s">
        <v>283</v>
      </c>
      <c r="C192" s="380">
        <f>+[6]BS17A!$D1214</f>
        <v>0</v>
      </c>
      <c r="D192" s="270">
        <f>+[6]BS17A!$U1214</f>
        <v>1112540</v>
      </c>
      <c r="E192" s="345">
        <f>+[6]BS17A!$V1214</f>
        <v>0</v>
      </c>
      <c r="F192" s="262"/>
    </row>
    <row r="193" spans="1:6" ht="24.75" customHeight="1" x14ac:dyDescent="0.2">
      <c r="A193" s="457" t="s">
        <v>284</v>
      </c>
      <c r="B193" s="461" t="s">
        <v>285</v>
      </c>
      <c r="C193" s="380">
        <f>+[6]BS17A!$D1215</f>
        <v>0</v>
      </c>
      <c r="D193" s="270">
        <f>+[6]BS17A!$U1215</f>
        <v>1165530</v>
      </c>
      <c r="E193" s="345">
        <f>+[6]BS17A!$V1215</f>
        <v>0</v>
      </c>
      <c r="F193" s="262"/>
    </row>
    <row r="194" spans="1:6" ht="12.75" customHeight="1" x14ac:dyDescent="0.2">
      <c r="A194" s="435" t="s">
        <v>286</v>
      </c>
      <c r="B194" s="461" t="s">
        <v>287</v>
      </c>
      <c r="C194" s="380">
        <f>+[6]BS17A!$D1216</f>
        <v>0</v>
      </c>
      <c r="D194" s="270">
        <f>+[6]BS17A!$U1216</f>
        <v>164930</v>
      </c>
      <c r="E194" s="345">
        <f>+[6]BS17A!$V1216</f>
        <v>0</v>
      </c>
      <c r="F194" s="262"/>
    </row>
    <row r="195" spans="1:6" ht="12.75" customHeight="1" x14ac:dyDescent="0.2">
      <c r="A195" s="435" t="s">
        <v>288</v>
      </c>
      <c r="B195" s="461" t="s">
        <v>289</v>
      </c>
      <c r="C195" s="380">
        <f>+[6]BS17A!$D1217</f>
        <v>0</v>
      </c>
      <c r="D195" s="270">
        <f>+[6]BS17A!$U1217</f>
        <v>376370</v>
      </c>
      <c r="E195" s="345">
        <f>+[6]BS17A!$V1217</f>
        <v>0</v>
      </c>
      <c r="F195" s="262"/>
    </row>
    <row r="196" spans="1:6" ht="12.75" customHeight="1" x14ac:dyDescent="0.2">
      <c r="A196" s="457" t="s">
        <v>290</v>
      </c>
      <c r="B196" s="461" t="s">
        <v>291</v>
      </c>
      <c r="C196" s="380">
        <f>+[6]BS17A!$D1218</f>
        <v>0</v>
      </c>
      <c r="D196" s="270">
        <f>+[6]BS17A!$U1218</f>
        <v>139530</v>
      </c>
      <c r="E196" s="345">
        <f>+[6]BS17A!$V1218</f>
        <v>0</v>
      </c>
      <c r="F196" s="262"/>
    </row>
    <row r="197" spans="1:6" ht="12.75" customHeight="1" x14ac:dyDescent="0.2">
      <c r="A197" s="457" t="s">
        <v>292</v>
      </c>
      <c r="B197" s="461" t="s">
        <v>293</v>
      </c>
      <c r="C197" s="380">
        <f>+[6]BS17A!$D1219</f>
        <v>0</v>
      </c>
      <c r="D197" s="270">
        <f>+[6]BS17A!$U1219</f>
        <v>1130520</v>
      </c>
      <c r="E197" s="345">
        <f>+[6]BS17A!$V1219</f>
        <v>0</v>
      </c>
      <c r="F197" s="262"/>
    </row>
    <row r="198" spans="1:6" ht="12.75" customHeight="1" x14ac:dyDescent="0.2">
      <c r="A198" s="457" t="s">
        <v>294</v>
      </c>
      <c r="B198" s="461" t="s">
        <v>295</v>
      </c>
      <c r="C198" s="380">
        <f>+[6]BS17A!$D1220</f>
        <v>0</v>
      </c>
      <c r="D198" s="270">
        <f>+[6]BS17A!$U1220</f>
        <v>1130520</v>
      </c>
      <c r="E198" s="345">
        <f>+[6]BS17A!$V1220</f>
        <v>0</v>
      </c>
      <c r="F198" s="262"/>
    </row>
    <row r="199" spans="1:6" ht="12.75" customHeight="1" x14ac:dyDescent="0.2">
      <c r="A199" s="457">
        <v>1801001</v>
      </c>
      <c r="B199" s="459" t="s">
        <v>296</v>
      </c>
      <c r="C199" s="380">
        <f>+[6]BS17A!$D1354</f>
        <v>79</v>
      </c>
      <c r="D199" s="270">
        <f>+[6]BS17A!$U1354</f>
        <v>33720</v>
      </c>
      <c r="E199" s="345">
        <f>+[6]BS17A!$V1354</f>
        <v>2663880</v>
      </c>
      <c r="F199" s="262"/>
    </row>
    <row r="200" spans="1:6" ht="12.75" customHeight="1" x14ac:dyDescent="0.2">
      <c r="A200" s="457">
        <v>1801003</v>
      </c>
      <c r="B200" s="461" t="s">
        <v>297</v>
      </c>
      <c r="C200" s="380">
        <f>+[6]BS17A!$D1355</f>
        <v>0</v>
      </c>
      <c r="D200" s="270">
        <f>+[6]BS17A!$U1355</f>
        <v>40670</v>
      </c>
      <c r="E200" s="345">
        <f>+[6]BS17A!$V1355</f>
        <v>0</v>
      </c>
      <c r="F200" s="262"/>
    </row>
    <row r="201" spans="1:6" ht="12.75" customHeight="1" x14ac:dyDescent="0.2">
      <c r="A201" s="457">
        <v>1801006</v>
      </c>
      <c r="B201" s="459" t="s">
        <v>298</v>
      </c>
      <c r="C201" s="380">
        <f>+[6]BS17A!$D1356</f>
        <v>10</v>
      </c>
      <c r="D201" s="270">
        <f>+[6]BS17A!$U1356</f>
        <v>43320</v>
      </c>
      <c r="E201" s="345">
        <f>+[6]BS17A!$V1356</f>
        <v>433200</v>
      </c>
      <c r="F201" s="262"/>
    </row>
    <row r="202" spans="1:6" ht="24.75" customHeight="1" x14ac:dyDescent="0.2">
      <c r="A202" s="457" t="s">
        <v>299</v>
      </c>
      <c r="B202" s="459" t="s">
        <v>300</v>
      </c>
      <c r="C202" s="380">
        <f>[6]BS17A!D1036</f>
        <v>1</v>
      </c>
      <c r="D202" s="270">
        <f>[6]BS17A!U1036</f>
        <v>9120</v>
      </c>
      <c r="E202" s="345">
        <f>[6]BS17A!V1036</f>
        <v>9120</v>
      </c>
      <c r="F202" s="262"/>
    </row>
    <row r="203" spans="1:6" ht="24.75" customHeight="1" x14ac:dyDescent="0.2">
      <c r="A203" s="464" t="s">
        <v>301</v>
      </c>
      <c r="B203" s="462" t="s">
        <v>302</v>
      </c>
      <c r="C203" s="417">
        <f>[6]BS17A!D807</f>
        <v>0</v>
      </c>
      <c r="D203" s="355">
        <f>[6]BS17A!U807</f>
        <v>386950</v>
      </c>
      <c r="E203" s="356">
        <f>[6]BS17A!V807</f>
        <v>0</v>
      </c>
      <c r="F203" s="262"/>
    </row>
    <row r="204" spans="1:6" ht="17.25" customHeight="1" x14ac:dyDescent="0.2">
      <c r="A204" s="442"/>
      <c r="B204" s="441" t="s">
        <v>303</v>
      </c>
      <c r="C204" s="279">
        <f>SUM(C173:C203)</f>
        <v>930</v>
      </c>
      <c r="D204" s="348"/>
      <c r="E204" s="349">
        <f>SUM(E173:E203)</f>
        <v>14886700</v>
      </c>
      <c r="F204" s="262"/>
    </row>
    <row r="205" spans="1:6" ht="21.75" customHeight="1" x14ac:dyDescent="0.2">
      <c r="A205" s="262"/>
      <c r="B205" s="262"/>
      <c r="C205" s="262"/>
      <c r="D205" s="262"/>
      <c r="E205" s="262"/>
      <c r="F205" s="262"/>
    </row>
    <row r="206" spans="1:6" ht="19.5" customHeight="1" x14ac:dyDescent="0.2">
      <c r="A206" s="262"/>
      <c r="B206" s="262"/>
      <c r="C206" s="262"/>
      <c r="D206" s="262"/>
      <c r="E206" s="262"/>
      <c r="F206" s="262"/>
    </row>
    <row r="207" spans="1:6" ht="18" customHeight="1" x14ac:dyDescent="0.2">
      <c r="A207" s="583" t="s">
        <v>304</v>
      </c>
      <c r="B207" s="584"/>
      <c r="C207" s="584"/>
      <c r="D207" s="584"/>
      <c r="E207" s="585"/>
      <c r="F207" s="259"/>
    </row>
    <row r="208" spans="1:6" ht="39.75" customHeight="1" x14ac:dyDescent="0.2">
      <c r="A208" s="264" t="s">
        <v>8</v>
      </c>
      <c r="B208" s="264" t="s">
        <v>9</v>
      </c>
      <c r="C208" s="487" t="s">
        <v>10</v>
      </c>
      <c r="D208" s="310" t="s">
        <v>11</v>
      </c>
      <c r="E208" s="489" t="s">
        <v>12</v>
      </c>
      <c r="F208" s="259"/>
    </row>
    <row r="209" spans="1:6" ht="12.75" customHeight="1" x14ac:dyDescent="0.2">
      <c r="A209" s="434" t="s">
        <v>305</v>
      </c>
      <c r="B209" s="451" t="s">
        <v>306</v>
      </c>
      <c r="C209" s="383">
        <f>+[6]BS17A!$D18</f>
        <v>0</v>
      </c>
      <c r="D209" s="275">
        <f>+[6]BS17A!$U18</f>
        <v>14110</v>
      </c>
      <c r="E209" s="344">
        <f>+[6]BS17A!$V18</f>
        <v>0</v>
      </c>
      <c r="F209" s="262"/>
    </row>
    <row r="210" spans="1:6" ht="12.75" customHeight="1" x14ac:dyDescent="0.2">
      <c r="A210" s="435" t="s">
        <v>307</v>
      </c>
      <c r="B210" s="431" t="s">
        <v>308</v>
      </c>
      <c r="C210" s="380">
        <f>+[6]BS17A!$D19</f>
        <v>58</v>
      </c>
      <c r="D210" s="270">
        <f>+[6]BS17A!$U19</f>
        <v>14110</v>
      </c>
      <c r="E210" s="345">
        <f>+[6]BS17A!$V19</f>
        <v>818380</v>
      </c>
      <c r="F210" s="262"/>
    </row>
    <row r="211" spans="1:6" ht="12.75" customHeight="1" x14ac:dyDescent="0.2">
      <c r="A211" s="435" t="s">
        <v>309</v>
      </c>
      <c r="B211" s="430" t="s">
        <v>310</v>
      </c>
      <c r="C211" s="380">
        <f>+[6]BS17A!$D47</f>
        <v>0</v>
      </c>
      <c r="D211" s="270">
        <f>+[6]BS17A!$U47</f>
        <v>1350</v>
      </c>
      <c r="E211" s="345">
        <f>+[6]BS17A!$V47</f>
        <v>0</v>
      </c>
      <c r="F211" s="262"/>
    </row>
    <row r="212" spans="1:6" ht="12.75" customHeight="1" x14ac:dyDescent="0.2">
      <c r="A212" s="435" t="s">
        <v>311</v>
      </c>
      <c r="B212" s="430" t="s">
        <v>312</v>
      </c>
      <c r="C212" s="380">
        <f>+[6]BS17A!$D48</f>
        <v>355</v>
      </c>
      <c r="D212" s="270">
        <f>+[6]BS17A!$U48</f>
        <v>660</v>
      </c>
      <c r="E212" s="345">
        <f>+[6]BS17A!$V48</f>
        <v>234300</v>
      </c>
      <c r="F212" s="262"/>
    </row>
    <row r="213" spans="1:6" ht="12.75" customHeight="1" x14ac:dyDescent="0.2">
      <c r="A213" s="435" t="s">
        <v>313</v>
      </c>
      <c r="B213" s="431" t="s">
        <v>314</v>
      </c>
      <c r="C213" s="380">
        <f>+[6]BS17A!$D49</f>
        <v>405</v>
      </c>
      <c r="D213" s="270">
        <f>+[6]BS17A!$U49</f>
        <v>2000</v>
      </c>
      <c r="E213" s="345">
        <f>+[6]BS17A!$V49</f>
        <v>810000</v>
      </c>
      <c r="F213" s="262"/>
    </row>
    <row r="214" spans="1:6" ht="12.75" customHeight="1" x14ac:dyDescent="0.2">
      <c r="A214" s="435" t="s">
        <v>315</v>
      </c>
      <c r="B214" s="431" t="s">
        <v>316</v>
      </c>
      <c r="C214" s="380">
        <f>+[6]BS17A!$D50</f>
        <v>53</v>
      </c>
      <c r="D214" s="270">
        <f>+[6]BS17A!$U50</f>
        <v>15030</v>
      </c>
      <c r="E214" s="345">
        <f>+[6]BS17A!$V50</f>
        <v>796590</v>
      </c>
      <c r="F214" s="262"/>
    </row>
    <row r="215" spans="1:6" ht="12.75" customHeight="1" x14ac:dyDescent="0.2">
      <c r="A215" s="435" t="s">
        <v>317</v>
      </c>
      <c r="B215" s="430" t="s">
        <v>318</v>
      </c>
      <c r="C215" s="380">
        <f>+[6]BS17A!$D51</f>
        <v>92</v>
      </c>
      <c r="D215" s="270">
        <f>+[6]BS17A!$U51</f>
        <v>34510</v>
      </c>
      <c r="E215" s="345">
        <f>+[6]BS17A!$V51</f>
        <v>3174920</v>
      </c>
      <c r="F215" s="262"/>
    </row>
    <row r="216" spans="1:6" ht="12.75" customHeight="1" x14ac:dyDescent="0.2">
      <c r="A216" s="457" t="s">
        <v>319</v>
      </c>
      <c r="B216" s="430" t="s">
        <v>320</v>
      </c>
      <c r="C216" s="380">
        <f>+[6]BS17A!D52</f>
        <v>18</v>
      </c>
      <c r="D216" s="357"/>
      <c r="E216" s="345">
        <f>+[6]BS17A!V52</f>
        <v>154980</v>
      </c>
      <c r="F216" s="262"/>
    </row>
    <row r="217" spans="1:6" ht="12.75" customHeight="1" x14ac:dyDescent="0.2">
      <c r="A217" s="436" t="s">
        <v>321</v>
      </c>
      <c r="B217" s="432" t="s">
        <v>322</v>
      </c>
      <c r="C217" s="395">
        <f>+[6]BS17A!$D1861</f>
        <v>38</v>
      </c>
      <c r="D217" s="277">
        <f>+[6]BS17A!$U1861</f>
        <v>27970</v>
      </c>
      <c r="E217" s="350">
        <f>+[6]BS17A!$V1861</f>
        <v>1062860</v>
      </c>
      <c r="F217" s="262"/>
    </row>
    <row r="218" spans="1:6" ht="12.75" x14ac:dyDescent="0.2">
      <c r="A218" s="442"/>
      <c r="B218" s="441" t="s">
        <v>323</v>
      </c>
      <c r="C218" s="279">
        <f>SUM(C209:C217)</f>
        <v>1019</v>
      </c>
      <c r="D218" s="348"/>
      <c r="E218" s="356">
        <f>SUM(E209:E217)</f>
        <v>7052030</v>
      </c>
      <c r="F218" s="262"/>
    </row>
    <row r="219" spans="1:6" ht="17.25" customHeight="1" x14ac:dyDescent="0.2">
      <c r="A219" s="262"/>
      <c r="B219" s="262"/>
      <c r="C219" s="262"/>
      <c r="D219" s="262"/>
      <c r="E219" s="262"/>
      <c r="F219" s="262"/>
    </row>
    <row r="220" spans="1:6" ht="18" customHeight="1" x14ac:dyDescent="0.2">
      <c r="A220" s="262"/>
      <c r="B220" s="262"/>
      <c r="C220" s="262"/>
      <c r="D220" s="262"/>
      <c r="E220" s="262"/>
      <c r="F220" s="262"/>
    </row>
    <row r="221" spans="1:6" ht="27.75" customHeight="1" x14ac:dyDescent="0.2">
      <c r="A221" s="605" t="s">
        <v>324</v>
      </c>
      <c r="B221" s="606"/>
      <c r="C221" s="607"/>
      <c r="D221" s="262"/>
      <c r="E221" s="262"/>
      <c r="F221" s="259"/>
    </row>
    <row r="222" spans="1:6" ht="42.75" customHeight="1" x14ac:dyDescent="0.2">
      <c r="A222" s="264" t="s">
        <v>8</v>
      </c>
      <c r="B222" s="264" t="s">
        <v>10</v>
      </c>
      <c r="C222" s="264" t="s">
        <v>12</v>
      </c>
      <c r="D222" s="259"/>
      <c r="E222" s="262"/>
      <c r="F222" s="262"/>
    </row>
    <row r="223" spans="1:6" ht="15" customHeight="1" x14ac:dyDescent="0.2">
      <c r="A223" s="434" t="s">
        <v>325</v>
      </c>
      <c r="B223" s="452" t="s">
        <v>326</v>
      </c>
      <c r="C223" s="358"/>
      <c r="D223" s="359"/>
      <c r="E223" s="262"/>
      <c r="F223" s="262"/>
    </row>
    <row r="224" spans="1:6" ht="15" customHeight="1" x14ac:dyDescent="0.2">
      <c r="A224" s="455" t="s">
        <v>327</v>
      </c>
      <c r="B224" s="453" t="s">
        <v>328</v>
      </c>
      <c r="C224" s="360"/>
      <c r="D224" s="359"/>
      <c r="E224" s="262"/>
      <c r="F224" s="262"/>
    </row>
    <row r="225" spans="1:7" ht="18" customHeight="1" x14ac:dyDescent="0.2">
      <c r="A225" s="456"/>
      <c r="B225" s="454" t="s">
        <v>329</v>
      </c>
      <c r="C225" s="416">
        <f>SUM(C223:C224)</f>
        <v>0</v>
      </c>
      <c r="D225" s="359"/>
      <c r="E225" s="262"/>
      <c r="F225" s="262"/>
    </row>
    <row r="226" spans="1:7" ht="18" customHeight="1" x14ac:dyDescent="0.2">
      <c r="A226" s="262"/>
      <c r="B226" s="262"/>
      <c r="C226" s="262"/>
      <c r="D226" s="359"/>
      <c r="E226" s="359"/>
      <c r="F226" s="359"/>
    </row>
    <row r="227" spans="1:7" ht="18" customHeight="1" x14ac:dyDescent="0.2">
      <c r="A227" s="262"/>
      <c r="B227" s="262"/>
      <c r="C227" s="262"/>
      <c r="D227" s="262"/>
      <c r="E227" s="262"/>
      <c r="F227" s="359"/>
      <c r="G227" s="361"/>
    </row>
    <row r="228" spans="1:7" ht="18" customHeight="1" x14ac:dyDescent="0.2">
      <c r="A228" s="583" t="s">
        <v>330</v>
      </c>
      <c r="B228" s="584"/>
      <c r="C228" s="584"/>
      <c r="D228" s="584"/>
      <c r="E228" s="585"/>
      <c r="F228" s="359"/>
      <c r="G228" s="361"/>
    </row>
    <row r="229" spans="1:7" ht="56.25" customHeight="1" x14ac:dyDescent="0.2">
      <c r="A229" s="264" t="s">
        <v>8</v>
      </c>
      <c r="B229" s="264" t="s">
        <v>9</v>
      </c>
      <c r="C229" s="487" t="s">
        <v>10</v>
      </c>
      <c r="D229" s="310" t="s">
        <v>11</v>
      </c>
      <c r="E229" s="489" t="s">
        <v>12</v>
      </c>
      <c r="F229" s="359"/>
      <c r="G229" s="361"/>
    </row>
    <row r="230" spans="1:7" ht="15" customHeight="1" x14ac:dyDescent="0.2">
      <c r="A230" s="434" t="s">
        <v>331</v>
      </c>
      <c r="B230" s="451" t="s">
        <v>332</v>
      </c>
      <c r="C230" s="414">
        <f>+[6]BS17A!$D1941</f>
        <v>322</v>
      </c>
      <c r="D230" s="275">
        <f>+[6]BS17A!$U1941</f>
        <v>19310</v>
      </c>
      <c r="E230" s="344">
        <f>+[6]BS17A!$V1941</f>
        <v>6217820</v>
      </c>
      <c r="F230" s="262"/>
    </row>
    <row r="231" spans="1:7" ht="15" customHeight="1" x14ac:dyDescent="0.2">
      <c r="A231" s="436" t="s">
        <v>333</v>
      </c>
      <c r="B231" s="432" t="s">
        <v>334</v>
      </c>
      <c r="C231" s="415">
        <f>+[6]BS17A!$D1942</f>
        <v>0</v>
      </c>
      <c r="D231" s="277">
        <f>+[6]BS17A!$U1942</f>
        <v>242060</v>
      </c>
      <c r="E231" s="350">
        <f>+[6]BS17A!$V1942</f>
        <v>0</v>
      </c>
      <c r="F231" s="262"/>
    </row>
    <row r="232" spans="1:7" ht="18" customHeight="1" x14ac:dyDescent="0.2">
      <c r="A232" s="442"/>
      <c r="B232" s="441" t="s">
        <v>335</v>
      </c>
      <c r="C232" s="279">
        <f>SUM(C230:C231)</f>
        <v>322</v>
      </c>
      <c r="D232" s="348"/>
      <c r="E232" s="349">
        <f>SUM(E230:E231)</f>
        <v>6217820</v>
      </c>
      <c r="F232" s="262"/>
    </row>
    <row r="233" spans="1:7" ht="18" customHeight="1" x14ac:dyDescent="0.2">
      <c r="A233" s="362"/>
      <c r="B233" s="363"/>
      <c r="C233" s="364"/>
      <c r="D233" s="362"/>
      <c r="E233" s="362"/>
      <c r="F233" s="262"/>
    </row>
    <row r="234" spans="1:7" ht="18" customHeight="1" x14ac:dyDescent="0.2">
      <c r="A234" s="362"/>
      <c r="B234" s="363"/>
      <c r="C234" s="364"/>
      <c r="D234" s="362"/>
      <c r="E234" s="362"/>
      <c r="F234" s="262"/>
    </row>
    <row r="235" spans="1:7" ht="18" customHeight="1" x14ac:dyDescent="0.2">
      <c r="A235" s="591" t="s">
        <v>336</v>
      </c>
      <c r="B235" s="584"/>
      <c r="C235" s="584"/>
      <c r="D235" s="584"/>
      <c r="E235" s="585"/>
      <c r="F235" s="262"/>
    </row>
    <row r="236" spans="1:7" ht="41.25" customHeight="1" x14ac:dyDescent="0.2">
      <c r="A236" s="264" t="s">
        <v>8</v>
      </c>
      <c r="B236" s="264" t="s">
        <v>9</v>
      </c>
      <c r="C236" s="487" t="s">
        <v>10</v>
      </c>
      <c r="D236" s="310" t="s">
        <v>11</v>
      </c>
      <c r="E236" s="489" t="s">
        <v>12</v>
      </c>
      <c r="F236" s="262"/>
    </row>
    <row r="237" spans="1:7" ht="18" customHeight="1" x14ac:dyDescent="0.2">
      <c r="A237" s="341" t="s">
        <v>337</v>
      </c>
      <c r="B237" s="287" t="s">
        <v>338</v>
      </c>
      <c r="C237" s="365">
        <f>[6]BS17A!D768</f>
        <v>478</v>
      </c>
      <c r="D237" s="366"/>
      <c r="E237" s="367">
        <f>[6]BS17A!V768</f>
        <v>3093100</v>
      </c>
      <c r="F237" s="262"/>
    </row>
    <row r="238" spans="1:7" ht="18" customHeight="1" x14ac:dyDescent="0.2">
      <c r="A238" s="362"/>
      <c r="B238" s="363"/>
      <c r="C238" s="364"/>
      <c r="D238" s="362"/>
      <c r="E238" s="362"/>
      <c r="F238" s="262"/>
    </row>
    <row r="239" spans="1:7" ht="18" customHeight="1" x14ac:dyDescent="0.2">
      <c r="A239" s="591" t="s">
        <v>339</v>
      </c>
      <c r="B239" s="592"/>
      <c r="C239" s="592"/>
      <c r="D239" s="592"/>
      <c r="E239" s="593"/>
      <c r="F239" s="262"/>
    </row>
    <row r="240" spans="1:7" ht="43.5" customHeight="1" x14ac:dyDescent="0.2">
      <c r="A240" s="264" t="s">
        <v>8</v>
      </c>
      <c r="B240" s="487" t="s">
        <v>340</v>
      </c>
      <c r="C240" s="309" t="s">
        <v>341</v>
      </c>
      <c r="D240" s="310" t="s">
        <v>11</v>
      </c>
      <c r="E240" s="489" t="s">
        <v>12</v>
      </c>
      <c r="F240" s="262"/>
    </row>
    <row r="241" spans="1:6" ht="15" customHeight="1" x14ac:dyDescent="0.2">
      <c r="A241" s="274" t="s">
        <v>342</v>
      </c>
      <c r="B241" s="397" t="s">
        <v>343</v>
      </c>
      <c r="C241" s="383">
        <f>+[6]BS17A!$D1944</f>
        <v>0</v>
      </c>
      <c r="D241" s="275">
        <f>+[6]BS17A!$U1944</f>
        <v>247230</v>
      </c>
      <c r="E241" s="344">
        <f>+[6]BS17A!$V1944</f>
        <v>0</v>
      </c>
      <c r="F241" s="262"/>
    </row>
    <row r="242" spans="1:6" ht="15" customHeight="1" x14ac:dyDescent="0.2">
      <c r="A242" s="269" t="s">
        <v>344</v>
      </c>
      <c r="B242" s="398" t="s">
        <v>345</v>
      </c>
      <c r="C242" s="380">
        <f>+[6]BS17A!$D1945</f>
        <v>0</v>
      </c>
      <c r="D242" s="270">
        <f>+[6]BS17A!$U1945</f>
        <v>35130</v>
      </c>
      <c r="E242" s="345">
        <f>+[6]BS17A!$V1945</f>
        <v>0</v>
      </c>
      <c r="F242" s="262"/>
    </row>
    <row r="243" spans="1:6" ht="15" customHeight="1" x14ac:dyDescent="0.2">
      <c r="A243" s="269" t="s">
        <v>346</v>
      </c>
      <c r="B243" s="398" t="s">
        <v>347</v>
      </c>
      <c r="C243" s="380">
        <f>+[6]BS17A!$D1946</f>
        <v>0</v>
      </c>
      <c r="D243" s="270">
        <f>+[6]BS17A!$U1946</f>
        <v>132520</v>
      </c>
      <c r="E243" s="345">
        <f>+[6]BS17A!$V1946</f>
        <v>0</v>
      </c>
      <c r="F243" s="262"/>
    </row>
    <row r="244" spans="1:6" ht="15" customHeight="1" x14ac:dyDescent="0.2">
      <c r="A244" s="269" t="s">
        <v>348</v>
      </c>
      <c r="B244" s="398" t="s">
        <v>349</v>
      </c>
      <c r="C244" s="380">
        <f>+[6]BS17A!$D1947</f>
        <v>0</v>
      </c>
      <c r="D244" s="270">
        <f>+[6]BS17A!$U1947</f>
        <v>132520</v>
      </c>
      <c r="E244" s="345">
        <f>+[6]BS17A!$V1947</f>
        <v>0</v>
      </c>
      <c r="F244" s="262"/>
    </row>
    <row r="245" spans="1:6" ht="15" customHeight="1" x14ac:dyDescent="0.2">
      <c r="A245" s="269" t="s">
        <v>350</v>
      </c>
      <c r="B245" s="398" t="s">
        <v>351</v>
      </c>
      <c r="C245" s="380">
        <f>+[6]BS17A!$D1948</f>
        <v>0</v>
      </c>
      <c r="D245" s="270">
        <f>+[6]BS17A!$U1948</f>
        <v>241260</v>
      </c>
      <c r="E245" s="345">
        <f>+[6]BS17A!$V1948</f>
        <v>0</v>
      </c>
      <c r="F245" s="262"/>
    </row>
    <row r="246" spans="1:6" ht="15" customHeight="1" x14ac:dyDescent="0.2">
      <c r="A246" s="269" t="s">
        <v>352</v>
      </c>
      <c r="B246" s="398" t="s">
        <v>353</v>
      </c>
      <c r="C246" s="380">
        <f>+[6]BS17A!$D1949</f>
        <v>0</v>
      </c>
      <c r="D246" s="270">
        <f>+[6]BS17A!$U1949</f>
        <v>370240</v>
      </c>
      <c r="E246" s="345">
        <f>+[6]BS17A!$V1949</f>
        <v>0</v>
      </c>
      <c r="F246" s="262"/>
    </row>
    <row r="247" spans="1:6" ht="15" customHeight="1" x14ac:dyDescent="0.2">
      <c r="A247" s="269" t="s">
        <v>354</v>
      </c>
      <c r="B247" s="398" t="s">
        <v>355</v>
      </c>
      <c r="C247" s="380">
        <f>+[6]BS17A!$D1950</f>
        <v>0</v>
      </c>
      <c r="D247" s="270">
        <f>+[6]BS17A!$U1950</f>
        <v>631610</v>
      </c>
      <c r="E247" s="345">
        <f>+[6]BS17A!$V1950</f>
        <v>0</v>
      </c>
      <c r="F247" s="262"/>
    </row>
    <row r="248" spans="1:6" ht="15" customHeight="1" x14ac:dyDescent="0.2">
      <c r="A248" s="292" t="s">
        <v>356</v>
      </c>
      <c r="B248" s="398" t="s">
        <v>357</v>
      </c>
      <c r="C248" s="380">
        <f>+[6]BS17A!$D1951</f>
        <v>0</v>
      </c>
      <c r="D248" s="270">
        <f>+[6]BS17A!$U1951</f>
        <v>131550</v>
      </c>
      <c r="E248" s="345">
        <f>+[6]BS17A!$V1951</f>
        <v>0</v>
      </c>
      <c r="F248" s="262"/>
    </row>
    <row r="249" spans="1:6" ht="15" customHeight="1" x14ac:dyDescent="0.2">
      <c r="A249" s="292" t="s">
        <v>358</v>
      </c>
      <c r="B249" s="398" t="s">
        <v>359</v>
      </c>
      <c r="C249" s="380">
        <f>+[6]BS17A!$D1952</f>
        <v>0</v>
      </c>
      <c r="D249" s="270">
        <f>+[6]BS17A!$U1952</f>
        <v>354560</v>
      </c>
      <c r="E249" s="345">
        <f>+[6]BS17A!$V1952</f>
        <v>0</v>
      </c>
      <c r="F249" s="262"/>
    </row>
    <row r="250" spans="1:6" ht="15" customHeight="1" x14ac:dyDescent="0.2">
      <c r="A250" s="292" t="s">
        <v>360</v>
      </c>
      <c r="B250" s="398" t="s">
        <v>361</v>
      </c>
      <c r="C250" s="410">
        <f>+[6]BS17A!$D1953</f>
        <v>0</v>
      </c>
      <c r="D250" s="272">
        <f>+[6]BS17A!$U1953</f>
        <v>149290</v>
      </c>
      <c r="E250" s="368">
        <f>+[6]BS17A!$V1953</f>
        <v>0</v>
      </c>
      <c r="F250" s="262"/>
    </row>
    <row r="251" spans="1:6" ht="15" customHeight="1" x14ac:dyDescent="0.2">
      <c r="A251" s="292" t="s">
        <v>362</v>
      </c>
      <c r="B251" s="398" t="s">
        <v>363</v>
      </c>
      <c r="C251" s="410">
        <f>+[6]BS17A!$D1954</f>
        <v>0</v>
      </c>
      <c r="D251" s="272">
        <f>+[6]BS17A!$U1954</f>
        <v>129730</v>
      </c>
      <c r="E251" s="368">
        <f>+[6]BS17A!$V1954</f>
        <v>0</v>
      </c>
      <c r="F251" s="262"/>
    </row>
    <row r="252" spans="1:6" ht="15" customHeight="1" x14ac:dyDescent="0.2">
      <c r="A252" s="292" t="s">
        <v>364</v>
      </c>
      <c r="B252" s="398" t="s">
        <v>365</v>
      </c>
      <c r="C252" s="410">
        <f>+[6]BS17A!$D1955</f>
        <v>0</v>
      </c>
      <c r="D252" s="272">
        <f>+[6]BS17A!$U1955</f>
        <v>197230</v>
      </c>
      <c r="E252" s="368">
        <f>+[6]BS17A!$V1955</f>
        <v>0</v>
      </c>
      <c r="F252" s="262"/>
    </row>
    <row r="253" spans="1:6" ht="15" customHeight="1" x14ac:dyDescent="0.2">
      <c r="A253" s="292" t="s">
        <v>366</v>
      </c>
      <c r="B253" s="398" t="s">
        <v>367</v>
      </c>
      <c r="C253" s="410">
        <f>+[6]BS17A!$D1956</f>
        <v>0</v>
      </c>
      <c r="D253" s="272">
        <f>+[6]BS17A!$U1956</f>
        <v>51900</v>
      </c>
      <c r="E253" s="368">
        <f>+[6]BS17A!$V1956</f>
        <v>0</v>
      </c>
      <c r="F253" s="262"/>
    </row>
    <row r="254" spans="1:6" ht="15" customHeight="1" x14ac:dyDescent="0.2">
      <c r="A254" s="327" t="s">
        <v>368</v>
      </c>
      <c r="B254" s="409" t="s">
        <v>369</v>
      </c>
      <c r="C254" s="395">
        <f>+[6]BS17A!$D1957</f>
        <v>0</v>
      </c>
      <c r="D254" s="277">
        <f>+[6]BS17A!$U1957</f>
        <v>38790</v>
      </c>
      <c r="E254" s="350">
        <f>+[6]BS17A!$V1957</f>
        <v>0</v>
      </c>
      <c r="F254" s="262"/>
    </row>
    <row r="255" spans="1:6" ht="15" customHeight="1" x14ac:dyDescent="0.2">
      <c r="A255" s="586" t="s">
        <v>370</v>
      </c>
      <c r="B255" s="587"/>
      <c r="C255" s="587"/>
      <c r="D255" s="587"/>
      <c r="E255" s="588"/>
      <c r="F255" s="262"/>
    </row>
    <row r="256" spans="1:6" ht="15" customHeight="1" x14ac:dyDescent="0.2">
      <c r="A256" s="434" t="s">
        <v>371</v>
      </c>
      <c r="B256" s="448" t="s">
        <v>343</v>
      </c>
      <c r="C256" s="383">
        <f>+[6]BS17A!$D1958</f>
        <v>0</v>
      </c>
      <c r="D256" s="275">
        <f>+[6]BS17A!$U1958</f>
        <v>212700</v>
      </c>
      <c r="E256" s="344">
        <f>+[6]BS17A!$V1958</f>
        <v>0</v>
      </c>
      <c r="F256" s="262"/>
    </row>
    <row r="257" spans="1:6" ht="15" customHeight="1" x14ac:dyDescent="0.2">
      <c r="A257" s="435" t="s">
        <v>372</v>
      </c>
      <c r="B257" s="449" t="s">
        <v>373</v>
      </c>
      <c r="C257" s="380">
        <f>+[6]BS17A!$D1959</f>
        <v>0</v>
      </c>
      <c r="D257" s="270">
        <f>+[6]BS17A!$U1959</f>
        <v>1265290</v>
      </c>
      <c r="E257" s="345">
        <f>+[6]BS17A!$V1959</f>
        <v>0</v>
      </c>
      <c r="F257" s="262"/>
    </row>
    <row r="258" spans="1:6" ht="15" customHeight="1" x14ac:dyDescent="0.2">
      <c r="A258" s="435" t="s">
        <v>374</v>
      </c>
      <c r="B258" s="449" t="s">
        <v>375</v>
      </c>
      <c r="C258" s="380">
        <f>+[6]BS17A!$D1960</f>
        <v>0</v>
      </c>
      <c r="D258" s="270">
        <f>+[6]BS17A!$U1960</f>
        <v>190900</v>
      </c>
      <c r="E258" s="345">
        <f>+[6]BS17A!$V1960</f>
        <v>0</v>
      </c>
      <c r="F258" s="262"/>
    </row>
    <row r="259" spans="1:6" ht="15" customHeight="1" x14ac:dyDescent="0.2">
      <c r="A259" s="435" t="s">
        <v>376</v>
      </c>
      <c r="B259" s="449" t="s">
        <v>377</v>
      </c>
      <c r="C259" s="380">
        <f>+[6]BS17A!$D1961</f>
        <v>0</v>
      </c>
      <c r="D259" s="270">
        <f>+[6]BS17A!$U1961</f>
        <v>168820</v>
      </c>
      <c r="E259" s="345">
        <f>+[6]BS17A!$V1961</f>
        <v>0</v>
      </c>
      <c r="F259" s="262"/>
    </row>
    <row r="260" spans="1:6" ht="15" customHeight="1" x14ac:dyDescent="0.2">
      <c r="A260" s="435" t="s">
        <v>378</v>
      </c>
      <c r="B260" s="449" t="s">
        <v>379</v>
      </c>
      <c r="C260" s="380">
        <f>+[6]BS17A!$D1962</f>
        <v>0</v>
      </c>
      <c r="D260" s="270">
        <f>+[6]BS17A!$U1962</f>
        <v>342700</v>
      </c>
      <c r="E260" s="345">
        <f>+[6]BS17A!$V1962</f>
        <v>0</v>
      </c>
      <c r="F260" s="262"/>
    </row>
    <row r="261" spans="1:6" ht="15" customHeight="1" x14ac:dyDescent="0.2">
      <c r="A261" s="435" t="s">
        <v>380</v>
      </c>
      <c r="B261" s="449" t="s">
        <v>381</v>
      </c>
      <c r="C261" s="380">
        <f>+[6]BS17A!$D1963</f>
        <v>0</v>
      </c>
      <c r="D261" s="270">
        <f>+[6]BS17A!$U1963</f>
        <v>1139590</v>
      </c>
      <c r="E261" s="345">
        <f>+[6]BS17A!$V1963</f>
        <v>0</v>
      </c>
      <c r="F261" s="262"/>
    </row>
    <row r="262" spans="1:6" ht="15" customHeight="1" x14ac:dyDescent="0.2">
      <c r="A262" s="435" t="s">
        <v>382</v>
      </c>
      <c r="B262" s="449" t="s">
        <v>383</v>
      </c>
      <c r="C262" s="380">
        <f>+[6]BS17A!$D1964</f>
        <v>0</v>
      </c>
      <c r="D262" s="270">
        <f>+[6]BS17A!$U1964</f>
        <v>1171120</v>
      </c>
      <c r="E262" s="345">
        <f>+[6]BS17A!$V1964</f>
        <v>0</v>
      </c>
      <c r="F262" s="262"/>
    </row>
    <row r="263" spans="1:6" ht="15" customHeight="1" x14ac:dyDescent="0.2">
      <c r="A263" s="435" t="s">
        <v>384</v>
      </c>
      <c r="B263" s="449" t="s">
        <v>385</v>
      </c>
      <c r="C263" s="380">
        <f>+[6]BS17A!$D1965</f>
        <v>0</v>
      </c>
      <c r="D263" s="270">
        <f>+[6]BS17A!$U1965</f>
        <v>927270</v>
      </c>
      <c r="E263" s="345">
        <f>+[6]BS17A!$V1965</f>
        <v>0</v>
      </c>
      <c r="F263" s="262"/>
    </row>
    <row r="264" spans="1:6" ht="15" customHeight="1" x14ac:dyDescent="0.2">
      <c r="A264" s="435" t="s">
        <v>386</v>
      </c>
      <c r="B264" s="449" t="s">
        <v>387</v>
      </c>
      <c r="C264" s="380">
        <f>+[6]BS17A!$D1966</f>
        <v>0</v>
      </c>
      <c r="D264" s="270">
        <f>+[6]BS17A!$U1966</f>
        <v>977250</v>
      </c>
      <c r="E264" s="345">
        <f>+[6]BS17A!$V1966</f>
        <v>0</v>
      </c>
      <c r="F264" s="262"/>
    </row>
    <row r="265" spans="1:6" ht="15" customHeight="1" x14ac:dyDescent="0.2">
      <c r="A265" s="435" t="s">
        <v>388</v>
      </c>
      <c r="B265" s="449" t="s">
        <v>389</v>
      </c>
      <c r="C265" s="380">
        <f>+[6]BS17A!$D1967</f>
        <v>0</v>
      </c>
      <c r="D265" s="270">
        <f>+[6]BS17A!$U1967</f>
        <v>385520</v>
      </c>
      <c r="E265" s="345">
        <f>+[6]BS17A!$V1967</f>
        <v>0</v>
      </c>
      <c r="F265" s="262"/>
    </row>
    <row r="266" spans="1:6" ht="15" customHeight="1" x14ac:dyDescent="0.2">
      <c r="A266" s="435" t="s">
        <v>390</v>
      </c>
      <c r="B266" s="449" t="s">
        <v>391</v>
      </c>
      <c r="C266" s="380">
        <f>+[6]BS17A!$D1968</f>
        <v>0</v>
      </c>
      <c r="D266" s="270">
        <f>+[6]BS17A!$U1968</f>
        <v>92330</v>
      </c>
      <c r="E266" s="345">
        <f>+[6]BS17A!$V1968</f>
        <v>0</v>
      </c>
      <c r="F266" s="262"/>
    </row>
    <row r="267" spans="1:6" ht="15" customHeight="1" x14ac:dyDescent="0.2">
      <c r="A267" s="435" t="s">
        <v>392</v>
      </c>
      <c r="B267" s="449" t="s">
        <v>393</v>
      </c>
      <c r="C267" s="380">
        <f>+[6]BS17A!$D1969</f>
        <v>0</v>
      </c>
      <c r="D267" s="270">
        <f>+[6]BS17A!$U1969</f>
        <v>275450</v>
      </c>
      <c r="E267" s="345">
        <f>+[6]BS17A!$V1969</f>
        <v>0</v>
      </c>
      <c r="F267" s="262"/>
    </row>
    <row r="268" spans="1:6" ht="15" customHeight="1" x14ac:dyDescent="0.2">
      <c r="A268" s="435" t="s">
        <v>394</v>
      </c>
      <c r="B268" s="431" t="s">
        <v>395</v>
      </c>
      <c r="C268" s="380">
        <f>+[6]BS17A!$D1970</f>
        <v>0</v>
      </c>
      <c r="D268" s="270">
        <f>+[6]BS17A!$U1970</f>
        <v>77880</v>
      </c>
      <c r="E268" s="345">
        <f>+[6]BS17A!$V1970</f>
        <v>0</v>
      </c>
      <c r="F268" s="262"/>
    </row>
    <row r="269" spans="1:6" ht="15" customHeight="1" x14ac:dyDescent="0.2">
      <c r="A269" s="435" t="s">
        <v>396</v>
      </c>
      <c r="B269" s="431" t="s">
        <v>397</v>
      </c>
      <c r="C269" s="380">
        <f>+[6]BS17A!$D1971</f>
        <v>0</v>
      </c>
      <c r="D269" s="270">
        <f>+[6]BS17A!$U1971</f>
        <v>1338250</v>
      </c>
      <c r="E269" s="345">
        <f>+[6]BS17A!$V1971</f>
        <v>0</v>
      </c>
      <c r="F269" s="262"/>
    </row>
    <row r="270" spans="1:6" ht="15" customHeight="1" x14ac:dyDescent="0.2">
      <c r="A270" s="435" t="s">
        <v>398</v>
      </c>
      <c r="B270" s="431" t="s">
        <v>399</v>
      </c>
      <c r="C270" s="380">
        <f>+[6]BS17A!$D1972</f>
        <v>0</v>
      </c>
      <c r="D270" s="270">
        <f>+[6]BS17A!$U1972</f>
        <v>312910</v>
      </c>
      <c r="E270" s="345">
        <f>+[6]BS17A!$V1972</f>
        <v>0</v>
      </c>
      <c r="F270" s="262"/>
    </row>
    <row r="271" spans="1:6" ht="15" customHeight="1" x14ac:dyDescent="0.2">
      <c r="A271" s="435" t="s">
        <v>400</v>
      </c>
      <c r="B271" s="431" t="s">
        <v>401</v>
      </c>
      <c r="C271" s="380">
        <f>+[6]BS17A!$D1973</f>
        <v>0</v>
      </c>
      <c r="D271" s="270">
        <f>+[6]BS17A!$U1973</f>
        <v>1048270</v>
      </c>
      <c r="E271" s="345">
        <f>+[6]BS17A!$V1973</f>
        <v>0</v>
      </c>
      <c r="F271" s="262"/>
    </row>
    <row r="272" spans="1:6" ht="15" customHeight="1" x14ac:dyDescent="0.2">
      <c r="A272" s="435" t="s">
        <v>402</v>
      </c>
      <c r="B272" s="450" t="s">
        <v>403</v>
      </c>
      <c r="C272" s="380">
        <f>+[6]BS17A!$D1974</f>
        <v>0</v>
      </c>
      <c r="D272" s="270">
        <f>+[6]BS17A!$U1974</f>
        <v>641750</v>
      </c>
      <c r="E272" s="345">
        <f>+[6]BS17A!$V1974</f>
        <v>0</v>
      </c>
      <c r="F272" s="262"/>
    </row>
    <row r="273" spans="1:10" ht="15" customHeight="1" x14ac:dyDescent="0.2">
      <c r="A273" s="436" t="s">
        <v>404</v>
      </c>
      <c r="B273" s="450" t="s">
        <v>405</v>
      </c>
      <c r="C273" s="395">
        <f>+[6]BS17A!$D1975</f>
        <v>0</v>
      </c>
      <c r="D273" s="272">
        <f>+[6]BS17A!$U1975</f>
        <v>523710</v>
      </c>
      <c r="E273" s="368">
        <f>+[6]BS17A!$V1975</f>
        <v>0</v>
      </c>
      <c r="F273" s="262"/>
    </row>
    <row r="274" spans="1:10" ht="15" customHeight="1" x14ac:dyDescent="0.2">
      <c r="A274" s="586" t="s">
        <v>406</v>
      </c>
      <c r="B274" s="587"/>
      <c r="C274" s="587"/>
      <c r="D274" s="587"/>
      <c r="E274" s="588"/>
      <c r="F274" s="262"/>
    </row>
    <row r="275" spans="1:10" ht="15" customHeight="1" x14ac:dyDescent="0.2">
      <c r="A275" s="434" t="s">
        <v>407</v>
      </c>
      <c r="B275" s="443" t="s">
        <v>408</v>
      </c>
      <c r="C275" s="412">
        <f>+[6]BS17A!$D1976</f>
        <v>0</v>
      </c>
      <c r="D275" s="267">
        <f>[6]BS17A!U1976</f>
        <v>282310</v>
      </c>
      <c r="E275" s="369">
        <f>+[6]BS17A!$V1976</f>
        <v>0</v>
      </c>
      <c r="F275" s="262"/>
    </row>
    <row r="276" spans="1:10" ht="15" customHeight="1" x14ac:dyDescent="0.2">
      <c r="A276" s="435" t="s">
        <v>409</v>
      </c>
      <c r="B276" s="431" t="s">
        <v>410</v>
      </c>
      <c r="C276" s="380">
        <f>+[6]BS17A!$D1977</f>
        <v>0</v>
      </c>
      <c r="D276" s="270">
        <f>[6]BS17A!U1977</f>
        <v>164590</v>
      </c>
      <c r="E276" s="345">
        <f>+[6]BS17A!$V1977</f>
        <v>0</v>
      </c>
      <c r="F276" s="262"/>
    </row>
    <row r="277" spans="1:10" ht="15" customHeight="1" x14ac:dyDescent="0.2">
      <c r="A277" s="435" t="s">
        <v>411</v>
      </c>
      <c r="B277" s="431" t="s">
        <v>412</v>
      </c>
      <c r="C277" s="380">
        <f>+[6]BS17A!$D1978</f>
        <v>0</v>
      </c>
      <c r="D277" s="270">
        <f>[6]BS17A!U1978</f>
        <v>397700</v>
      </c>
      <c r="E277" s="345">
        <f>+[6]BS17A!$V1978</f>
        <v>0</v>
      </c>
      <c r="F277" s="262"/>
    </row>
    <row r="278" spans="1:10" ht="15" customHeight="1" x14ac:dyDescent="0.2">
      <c r="A278" s="435" t="s">
        <v>413</v>
      </c>
      <c r="B278" s="431" t="s">
        <v>414</v>
      </c>
      <c r="C278" s="380">
        <f>+[6]BS17A!$D1979</f>
        <v>0</v>
      </c>
      <c r="D278" s="270">
        <f>[6]BS17A!U1979</f>
        <v>412140</v>
      </c>
      <c r="E278" s="345">
        <f>+[6]BS17A!$V1979</f>
        <v>0</v>
      </c>
      <c r="F278" s="262"/>
    </row>
    <row r="279" spans="1:10" ht="15" customHeight="1" x14ac:dyDescent="0.2">
      <c r="A279" s="436" t="s">
        <v>415</v>
      </c>
      <c r="B279" s="444" t="s">
        <v>416</v>
      </c>
      <c r="C279" s="395">
        <f>+[6]BS17A!$D1980</f>
        <v>0</v>
      </c>
      <c r="D279" s="277">
        <f>[6]BS17A!U1980</f>
        <v>257530</v>
      </c>
      <c r="E279" s="350">
        <f>+[6]BS17A!$V1980</f>
        <v>0</v>
      </c>
      <c r="F279" s="370"/>
    </row>
    <row r="280" spans="1:10" ht="15" customHeight="1" x14ac:dyDescent="0.2">
      <c r="A280" s="447" t="s">
        <v>417</v>
      </c>
      <c r="B280" s="445" t="s">
        <v>418</v>
      </c>
      <c r="C280" s="413">
        <f>+[6]BS17A!$D1981</f>
        <v>112</v>
      </c>
      <c r="D280" s="371">
        <f>[6]BS17A!U1981</f>
        <v>35020</v>
      </c>
      <c r="E280" s="367">
        <f>+[6]BS17A!$V1981</f>
        <v>3922240</v>
      </c>
      <c r="F280" s="370"/>
    </row>
    <row r="281" spans="1:10" ht="15" customHeight="1" x14ac:dyDescent="0.2">
      <c r="A281" s="442"/>
      <c r="B281" s="446" t="s">
        <v>419</v>
      </c>
      <c r="C281" s="279">
        <f>SUM(C241:C280)</f>
        <v>112</v>
      </c>
      <c r="D281" s="348"/>
      <c r="E281" s="349">
        <f>SUM(E241:E280)</f>
        <v>3922240</v>
      </c>
      <c r="F281" s="370"/>
    </row>
    <row r="282" spans="1:10" ht="18" customHeight="1" x14ac:dyDescent="0.2">
      <c r="A282" s="362"/>
      <c r="B282" s="262"/>
      <c r="C282" s="262"/>
      <c r="D282" s="362"/>
      <c r="E282" s="362"/>
      <c r="F282" s="262"/>
    </row>
    <row r="283" spans="1:10" ht="18" customHeight="1" x14ac:dyDescent="0.2">
      <c r="A283" s="362"/>
      <c r="B283" s="364"/>
      <c r="C283" s="364"/>
      <c r="D283" s="362"/>
      <c r="E283" s="362"/>
      <c r="F283" s="372"/>
      <c r="G283" s="373"/>
      <c r="J283" s="374"/>
    </row>
    <row r="284" spans="1:10" ht="12.75" customHeight="1" x14ac:dyDescent="0.2">
      <c r="A284" s="591" t="s">
        <v>420</v>
      </c>
      <c r="B284" s="592"/>
      <c r="C284" s="592"/>
      <c r="D284" s="592"/>
      <c r="E284" s="593"/>
      <c r="F284" s="262"/>
    </row>
    <row r="285" spans="1:10" ht="44.25" customHeight="1" x14ac:dyDescent="0.2">
      <c r="A285" s="264" t="s">
        <v>8</v>
      </c>
      <c r="B285" s="264" t="s">
        <v>420</v>
      </c>
      <c r="C285" s="487" t="s">
        <v>341</v>
      </c>
      <c r="D285" s="310" t="s">
        <v>11</v>
      </c>
      <c r="E285" s="489" t="s">
        <v>12</v>
      </c>
      <c r="F285" s="370"/>
    </row>
    <row r="286" spans="1:10" ht="15" customHeight="1" x14ac:dyDescent="0.2">
      <c r="A286" s="434" t="s">
        <v>421</v>
      </c>
      <c r="B286" s="438" t="s">
        <v>422</v>
      </c>
      <c r="C286" s="383">
        <f>+[6]BS17A!$D1983</f>
        <v>7</v>
      </c>
      <c r="D286" s="275">
        <f>+[6]BS17A!$U1983</f>
        <v>6890</v>
      </c>
      <c r="E286" s="344">
        <f>+[6]BS17A!$V1983</f>
        <v>48230</v>
      </c>
      <c r="F286" s="262"/>
    </row>
    <row r="287" spans="1:10" ht="15" customHeight="1" x14ac:dyDescent="0.2">
      <c r="A287" s="435" t="s">
        <v>423</v>
      </c>
      <c r="B287" s="439" t="s">
        <v>424</v>
      </c>
      <c r="C287" s="380">
        <f>+[6]BS17A!$D1984</f>
        <v>0</v>
      </c>
      <c r="D287" s="270">
        <f>+[6]BS17A!$U1984</f>
        <v>3670</v>
      </c>
      <c r="E287" s="345">
        <f>+[6]BS17A!$V1984</f>
        <v>0</v>
      </c>
      <c r="F287" s="262"/>
    </row>
    <row r="288" spans="1:10" ht="15" customHeight="1" x14ac:dyDescent="0.2">
      <c r="A288" s="435" t="s">
        <v>425</v>
      </c>
      <c r="B288" s="439" t="s">
        <v>426</v>
      </c>
      <c r="C288" s="380">
        <f>+[6]BS17A!$D1985</f>
        <v>1</v>
      </c>
      <c r="D288" s="270">
        <f>+[6]BS17A!$U1985</f>
        <v>13830</v>
      </c>
      <c r="E288" s="345">
        <f>+[6]BS17A!$V1985</f>
        <v>13830</v>
      </c>
      <c r="F288" s="262"/>
    </row>
    <row r="289" spans="1:7" ht="15" customHeight="1" x14ac:dyDescent="0.2">
      <c r="A289" s="435" t="s">
        <v>427</v>
      </c>
      <c r="B289" s="439" t="s">
        <v>428</v>
      </c>
      <c r="C289" s="380">
        <f>+[6]BS17A!$D1986</f>
        <v>0</v>
      </c>
      <c r="D289" s="270">
        <f>+[6]BS17A!$U1986</f>
        <v>141790</v>
      </c>
      <c r="E289" s="345">
        <f>+[6]BS17A!$V1986</f>
        <v>0</v>
      </c>
      <c r="F289" s="262"/>
    </row>
    <row r="290" spans="1:7" ht="15" customHeight="1" x14ac:dyDescent="0.2">
      <c r="A290" s="436" t="s">
        <v>429</v>
      </c>
      <c r="B290" s="440" t="s">
        <v>430</v>
      </c>
      <c r="C290" s="395">
        <f>+[6]BS17A!$D1987</f>
        <v>1</v>
      </c>
      <c r="D290" s="277">
        <f>+[6]BS17A!$U1987</f>
        <v>778770</v>
      </c>
      <c r="E290" s="350">
        <f>+[6]BS17A!$V1987</f>
        <v>778770</v>
      </c>
      <c r="F290" s="262"/>
    </row>
    <row r="291" spans="1:7" ht="15" customHeight="1" x14ac:dyDescent="0.2">
      <c r="A291" s="442"/>
      <c r="B291" s="441" t="s">
        <v>431</v>
      </c>
      <c r="C291" s="316">
        <f>SUM(C286:C290)</f>
        <v>9</v>
      </c>
      <c r="D291" s="288"/>
      <c r="E291" s="317">
        <f>SUM(E286:E290)</f>
        <v>840830</v>
      </c>
      <c r="F291" s="262"/>
    </row>
    <row r="292" spans="1:7" ht="18" customHeight="1" x14ac:dyDescent="0.2">
      <c r="A292" s="362"/>
      <c r="B292" s="364"/>
      <c r="C292" s="362"/>
      <c r="D292" s="362"/>
      <c r="E292" s="362"/>
      <c r="F292" s="262"/>
    </row>
    <row r="293" spans="1:7" ht="18" customHeight="1" x14ac:dyDescent="0.2">
      <c r="A293" s="362"/>
      <c r="B293" s="364"/>
      <c r="C293" s="362"/>
      <c r="D293" s="362"/>
      <c r="E293" s="362"/>
      <c r="F293" s="375"/>
      <c r="G293" s="263"/>
    </row>
    <row r="294" spans="1:7" ht="12.75" x14ac:dyDescent="0.2">
      <c r="A294" s="586" t="s">
        <v>432</v>
      </c>
      <c r="B294" s="587"/>
      <c r="C294" s="587"/>
      <c r="D294" s="587"/>
      <c r="E294" s="588"/>
      <c r="F294" s="376"/>
      <c r="G294" s="263"/>
    </row>
    <row r="295" spans="1:7" ht="42.75" customHeight="1" x14ac:dyDescent="0.2">
      <c r="A295" s="264" t="s">
        <v>8</v>
      </c>
      <c r="B295" s="407" t="s">
        <v>432</v>
      </c>
      <c r="C295" s="408" t="s">
        <v>433</v>
      </c>
      <c r="D295" s="310" t="s">
        <v>11</v>
      </c>
      <c r="E295" s="489" t="s">
        <v>12</v>
      </c>
      <c r="F295" s="376"/>
      <c r="G295" s="263"/>
    </row>
    <row r="296" spans="1:7" ht="15" customHeight="1" x14ac:dyDescent="0.2">
      <c r="A296" s="434" t="s">
        <v>434</v>
      </c>
      <c r="B296" s="429" t="s">
        <v>435</v>
      </c>
      <c r="C296" s="383">
        <f>+[6]BS17A!$D1863</f>
        <v>212</v>
      </c>
      <c r="D296" s="275">
        <f>+[6]BS17A!$U1863</f>
        <v>18430</v>
      </c>
      <c r="E296" s="344">
        <f>+[6]BS17A!$V1863</f>
        <v>3907160</v>
      </c>
      <c r="F296" s="262"/>
    </row>
    <row r="297" spans="1:7" ht="15" customHeight="1" x14ac:dyDescent="0.2">
      <c r="A297" s="435" t="s">
        <v>436</v>
      </c>
      <c r="B297" s="430" t="s">
        <v>437</v>
      </c>
      <c r="C297" s="380">
        <f>+[6]BS17A!$D1864</f>
        <v>188</v>
      </c>
      <c r="D297" s="270">
        <f>+[6]BS17A!$U1864</f>
        <v>57970</v>
      </c>
      <c r="E297" s="345">
        <f>+[6]BS17A!$V1864</f>
        <v>10898360</v>
      </c>
      <c r="F297" s="262"/>
    </row>
    <row r="298" spans="1:7" ht="15" customHeight="1" x14ac:dyDescent="0.2">
      <c r="A298" s="435" t="s">
        <v>438</v>
      </c>
      <c r="B298" s="430" t="s">
        <v>439</v>
      </c>
      <c r="C298" s="380">
        <f>+[6]BS17A!$D1865</f>
        <v>0</v>
      </c>
      <c r="D298" s="270">
        <f>+[6]BS17A!$U1865</f>
        <v>71860</v>
      </c>
      <c r="E298" s="345">
        <f>+[6]BS17A!$V1865</f>
        <v>0</v>
      </c>
      <c r="F298" s="262"/>
    </row>
    <row r="299" spans="1:7" ht="15" customHeight="1" x14ac:dyDescent="0.2">
      <c r="A299" s="435" t="s">
        <v>440</v>
      </c>
      <c r="B299" s="430" t="s">
        <v>441</v>
      </c>
      <c r="C299" s="380">
        <f>+[6]BS17A!$D1866</f>
        <v>174</v>
      </c>
      <c r="D299" s="270">
        <f>+[6]BS17A!$U1866</f>
        <v>2520</v>
      </c>
      <c r="E299" s="345">
        <f>+[6]BS17A!$V1866</f>
        <v>438480</v>
      </c>
      <c r="F299" s="262"/>
    </row>
    <row r="300" spans="1:7" ht="15" customHeight="1" x14ac:dyDescent="0.2">
      <c r="A300" s="435" t="s">
        <v>442</v>
      </c>
      <c r="B300" s="430" t="s">
        <v>443</v>
      </c>
      <c r="C300" s="380">
        <f>+[6]BS17A!$D1867</f>
        <v>0</v>
      </c>
      <c r="D300" s="270">
        <f>+[6]BS17A!$U1867</f>
        <v>70</v>
      </c>
      <c r="E300" s="345">
        <f>+[6]BS17A!$V1867</f>
        <v>0</v>
      </c>
      <c r="F300" s="262"/>
    </row>
    <row r="301" spans="1:7" ht="15" customHeight="1" x14ac:dyDescent="0.2">
      <c r="A301" s="435" t="s">
        <v>444</v>
      </c>
      <c r="B301" s="431" t="s">
        <v>445</v>
      </c>
      <c r="C301" s="380">
        <f>+[6]BS17A!$D1868</f>
        <v>0</v>
      </c>
      <c r="D301" s="270">
        <f>+[6]BS17A!$U1868</f>
        <v>152560</v>
      </c>
      <c r="E301" s="345">
        <f>+[6]BS17A!$V1868</f>
        <v>0</v>
      </c>
      <c r="F301" s="262"/>
    </row>
    <row r="302" spans="1:7" ht="15" customHeight="1" x14ac:dyDescent="0.2">
      <c r="A302" s="436" t="s">
        <v>446</v>
      </c>
      <c r="B302" s="432" t="s">
        <v>447</v>
      </c>
      <c r="C302" s="395">
        <f>+[6]BS17A!$D1869</f>
        <v>0</v>
      </c>
      <c r="D302" s="277">
        <f>+[6]BS17A!$U1869</f>
        <v>10370</v>
      </c>
      <c r="E302" s="350">
        <f>+[6]BS17A!$V1869</f>
        <v>0</v>
      </c>
      <c r="F302" s="262"/>
    </row>
    <row r="303" spans="1:7" ht="15" customHeight="1" x14ac:dyDescent="0.2">
      <c r="A303" s="437"/>
      <c r="B303" s="603" t="s">
        <v>448</v>
      </c>
      <c r="C303" s="604"/>
      <c r="D303" s="366"/>
      <c r="E303" s="377">
        <f>SUM(E296:E302)</f>
        <v>15244000</v>
      </c>
      <c r="F303" s="262"/>
    </row>
    <row r="304" spans="1:7" ht="12.75" x14ac:dyDescent="0.2">
      <c r="A304" s="262"/>
      <c r="B304" s="262"/>
      <c r="C304" s="262"/>
      <c r="D304" s="262"/>
      <c r="E304" s="262"/>
      <c r="F304" s="359"/>
      <c r="G304" s="361"/>
    </row>
    <row r="305" spans="1:7" ht="12.75" x14ac:dyDescent="0.2">
      <c r="A305" s="262"/>
      <c r="B305" s="262"/>
      <c r="C305" s="262"/>
      <c r="D305" s="262"/>
      <c r="E305" s="262"/>
      <c r="F305" s="359"/>
      <c r="G305" s="361"/>
    </row>
    <row r="306" spans="1:7" ht="12.75" x14ac:dyDescent="0.2">
      <c r="A306" s="597" t="s">
        <v>449</v>
      </c>
      <c r="B306" s="598"/>
      <c r="C306" s="598"/>
      <c r="D306" s="598"/>
      <c r="E306" s="599"/>
      <c r="F306" s="359"/>
      <c r="G306" s="361"/>
    </row>
    <row r="307" spans="1:7" ht="12.75" x14ac:dyDescent="0.2">
      <c r="A307" s="307"/>
      <c r="B307" s="600" t="s">
        <v>450</v>
      </c>
      <c r="C307" s="601"/>
      <c r="D307" s="602"/>
      <c r="E307" s="378">
        <f>+E232+E237+E281+E291+E303</f>
        <v>29317990</v>
      </c>
      <c r="F307" s="262"/>
    </row>
    <row r="308" spans="1:7" ht="12.75" x14ac:dyDescent="0.2">
      <c r="A308" s="262"/>
      <c r="B308" s="262"/>
      <c r="C308" s="262"/>
      <c r="D308" s="262"/>
      <c r="E308" s="262"/>
      <c r="F308" s="359"/>
      <c r="G308" s="361"/>
    </row>
    <row r="309" spans="1:7" ht="12.75" x14ac:dyDescent="0.2">
      <c r="A309" s="262"/>
      <c r="B309" s="262"/>
      <c r="C309" s="262"/>
      <c r="D309" s="262"/>
      <c r="E309" s="262"/>
      <c r="F309" s="359"/>
      <c r="G309" s="361"/>
    </row>
    <row r="310" spans="1:7" ht="12.75" x14ac:dyDescent="0.2">
      <c r="A310" s="597" t="s">
        <v>451</v>
      </c>
      <c r="B310" s="598"/>
      <c r="C310" s="598"/>
      <c r="D310" s="598"/>
      <c r="E310" s="599"/>
      <c r="F310" s="359"/>
      <c r="G310" s="361"/>
    </row>
    <row r="311" spans="1:7" ht="25.5" x14ac:dyDescent="0.2">
      <c r="A311" s="586" t="s">
        <v>452</v>
      </c>
      <c r="B311" s="587"/>
      <c r="C311" s="587"/>
      <c r="D311" s="588"/>
      <c r="E311" s="264" t="s">
        <v>12</v>
      </c>
      <c r="F311" s="359"/>
      <c r="G311" s="361"/>
    </row>
    <row r="312" spans="1:7" ht="15" customHeight="1" x14ac:dyDescent="0.2">
      <c r="A312" s="307"/>
      <c r="B312" s="600" t="s">
        <v>453</v>
      </c>
      <c r="C312" s="601"/>
      <c r="D312" s="602"/>
      <c r="E312" s="378">
        <f>+E50+E76+E84+F109+E116+C121+E148+E155+E168+E204+E218+C225+E307</f>
        <v>756313890</v>
      </c>
      <c r="F312" s="359"/>
      <c r="G312" s="361"/>
    </row>
    <row r="313" spans="1:7" ht="18" customHeight="1" x14ac:dyDescent="0.2">
      <c r="A313" s="262"/>
      <c r="B313" s="262"/>
      <c r="C313" s="262"/>
      <c r="D313" s="262"/>
      <c r="E313" s="262"/>
      <c r="F313" s="259"/>
    </row>
    <row r="314" spans="1:7" ht="18" customHeight="1" x14ac:dyDescent="0.2">
      <c r="A314" s="262"/>
      <c r="B314" s="262"/>
      <c r="C314" s="262"/>
      <c r="D314" s="262"/>
      <c r="E314" s="262"/>
      <c r="F314" s="259"/>
    </row>
    <row r="315" spans="1:7" ht="18" customHeight="1" x14ac:dyDescent="0.2">
      <c r="A315" s="597" t="s">
        <v>454</v>
      </c>
      <c r="B315" s="598"/>
      <c r="C315" s="599"/>
      <c r="D315" s="262"/>
      <c r="E315" s="262"/>
      <c r="F315" s="259"/>
    </row>
    <row r="316" spans="1:7" ht="18" customHeight="1" x14ac:dyDescent="0.2">
      <c r="A316" s="586" t="s">
        <v>455</v>
      </c>
      <c r="B316" s="587"/>
      <c r="C316" s="588"/>
      <c r="D316" s="262"/>
      <c r="E316" s="262"/>
      <c r="F316" s="259"/>
    </row>
    <row r="317" spans="1:7" ht="30.75" customHeight="1" x14ac:dyDescent="0.2">
      <c r="A317" s="597" t="s">
        <v>456</v>
      </c>
      <c r="B317" s="598"/>
      <c r="C317" s="264" t="s">
        <v>457</v>
      </c>
      <c r="D317" s="262"/>
      <c r="E317" s="262"/>
      <c r="F317" s="262"/>
    </row>
    <row r="318" spans="1:7" ht="15" customHeight="1" x14ac:dyDescent="0.2">
      <c r="A318" s="379" t="s">
        <v>458</v>
      </c>
      <c r="B318" s="397"/>
      <c r="C318" s="403"/>
      <c r="D318" s="262"/>
      <c r="E318" s="262"/>
      <c r="F318" s="262"/>
    </row>
    <row r="319" spans="1:7" ht="15" customHeight="1" x14ac:dyDescent="0.2">
      <c r="A319" s="380" t="s">
        <v>459</v>
      </c>
      <c r="B319" s="398"/>
      <c r="C319" s="404"/>
      <c r="D319" s="262"/>
      <c r="E319" s="262"/>
      <c r="F319" s="262"/>
    </row>
    <row r="320" spans="1:7" ht="15" customHeight="1" x14ac:dyDescent="0.2">
      <c r="A320" s="380" t="s">
        <v>460</v>
      </c>
      <c r="B320" s="398"/>
      <c r="C320" s="404"/>
      <c r="D320" s="262"/>
      <c r="E320" s="262"/>
      <c r="F320" s="262"/>
    </row>
    <row r="321" spans="1:6" ht="15" customHeight="1" x14ac:dyDescent="0.2">
      <c r="A321" s="381" t="s">
        <v>461</v>
      </c>
      <c r="B321" s="398"/>
      <c r="C321" s="404"/>
      <c r="D321" s="262"/>
      <c r="E321" s="262"/>
      <c r="F321" s="262"/>
    </row>
    <row r="322" spans="1:6" ht="15" customHeight="1" x14ac:dyDescent="0.2">
      <c r="A322" s="382" t="s">
        <v>462</v>
      </c>
      <c r="B322" s="399"/>
      <c r="C322" s="405">
        <f>SUM(C318:C321)</f>
        <v>0</v>
      </c>
      <c r="D322" s="262"/>
      <c r="E322" s="262"/>
      <c r="F322" s="262"/>
    </row>
    <row r="323" spans="1:6" ht="15" customHeight="1" x14ac:dyDescent="0.2">
      <c r="A323" s="383" t="s">
        <v>463</v>
      </c>
      <c r="B323" s="400"/>
      <c r="C323" s="403">
        <v>11510687</v>
      </c>
      <c r="D323" s="262"/>
      <c r="E323" s="262"/>
      <c r="F323" s="262"/>
    </row>
    <row r="324" spans="1:6" ht="15" customHeight="1" x14ac:dyDescent="0.2">
      <c r="A324" s="384" t="s">
        <v>464</v>
      </c>
      <c r="B324" s="401"/>
      <c r="C324" s="404"/>
      <c r="D324" s="262"/>
      <c r="E324" s="262"/>
      <c r="F324" s="262"/>
    </row>
    <row r="325" spans="1:6" ht="15" customHeight="1" x14ac:dyDescent="0.2">
      <c r="A325" s="380" t="s">
        <v>465</v>
      </c>
      <c r="B325" s="401"/>
      <c r="C325" s="404"/>
      <c r="D325" s="262"/>
      <c r="E325" s="262"/>
      <c r="F325" s="262"/>
    </row>
    <row r="326" spans="1:6" ht="15" customHeight="1" x14ac:dyDescent="0.2">
      <c r="A326" s="380" t="s">
        <v>466</v>
      </c>
      <c r="B326" s="401"/>
      <c r="C326" s="404"/>
      <c r="D326" s="262"/>
      <c r="E326" s="262"/>
      <c r="F326" s="262"/>
    </row>
    <row r="327" spans="1:6" ht="15" customHeight="1" x14ac:dyDescent="0.2">
      <c r="A327" s="384" t="s">
        <v>467</v>
      </c>
      <c r="B327" s="401"/>
      <c r="C327" s="404"/>
      <c r="D327" s="262"/>
      <c r="E327" s="262"/>
      <c r="F327" s="262"/>
    </row>
    <row r="328" spans="1:6" ht="15" customHeight="1" x14ac:dyDescent="0.2">
      <c r="A328" s="384" t="s">
        <v>468</v>
      </c>
      <c r="B328" s="401"/>
      <c r="C328" s="404"/>
      <c r="D328" s="262"/>
      <c r="E328" s="262"/>
      <c r="F328" s="262"/>
    </row>
    <row r="329" spans="1:6" ht="15" customHeight="1" x14ac:dyDescent="0.2">
      <c r="A329" s="385" t="s">
        <v>469</v>
      </c>
      <c r="B329" s="402"/>
      <c r="C329" s="406">
        <v>73182331</v>
      </c>
      <c r="D329" s="262"/>
      <c r="E329" s="262"/>
      <c r="F329" s="262"/>
    </row>
    <row r="330" spans="1:6" ht="15" customHeight="1" x14ac:dyDescent="0.2">
      <c r="A330" s="279"/>
      <c r="B330" s="396" t="s">
        <v>470</v>
      </c>
      <c r="C330" s="354">
        <f>SUM(C322:C329)</f>
        <v>84693018</v>
      </c>
      <c r="D330" s="262"/>
      <c r="E330" s="262"/>
      <c r="F330" s="262"/>
    </row>
    <row r="331" spans="1:6" ht="12.75" x14ac:dyDescent="0.2">
      <c r="A331" s="262"/>
      <c r="B331" s="262"/>
      <c r="C331" s="262"/>
      <c r="D331" s="262"/>
      <c r="E331" s="262"/>
      <c r="F331" s="259"/>
    </row>
    <row r="332" spans="1:6" ht="12.75" x14ac:dyDescent="0.2">
      <c r="A332" s="262"/>
      <c r="B332" s="262"/>
      <c r="C332" s="262"/>
      <c r="D332" s="262"/>
      <c r="E332" s="262"/>
      <c r="F332" s="259"/>
    </row>
    <row r="333" spans="1:6" ht="12.75" x14ac:dyDescent="0.2">
      <c r="A333" s="262"/>
      <c r="B333" s="262"/>
      <c r="C333" s="262"/>
      <c r="D333" s="262"/>
      <c r="E333" s="262"/>
      <c r="F333" s="259"/>
    </row>
    <row r="334" spans="1:6" ht="12.75" x14ac:dyDescent="0.2">
      <c r="A334" s="362"/>
      <c r="B334" s="362"/>
      <c r="C334" s="362"/>
      <c r="D334" s="362"/>
      <c r="E334" s="362"/>
      <c r="F334" s="375"/>
    </row>
    <row r="335" spans="1:6" ht="12.75" x14ac:dyDescent="0.2">
      <c r="A335" s="362"/>
      <c r="B335" s="362"/>
      <c r="C335" s="362"/>
      <c r="D335" s="362"/>
      <c r="E335" s="610" t="str">
        <f>[6]NOMBRE!B12</f>
        <v>SRA. MARIA INES NUÑEZ GONZALEZ</v>
      </c>
      <c r="F335" s="610"/>
    </row>
    <row r="336" spans="1:6" ht="12.75" x14ac:dyDescent="0.2">
      <c r="A336" s="362"/>
      <c r="B336" s="362"/>
      <c r="C336" s="362"/>
      <c r="D336" s="364"/>
      <c r="E336" s="609" t="str">
        <f>[6]NOMBRE!A12</f>
        <v>Jefe de Estadisticas</v>
      </c>
      <c r="F336" s="609"/>
    </row>
    <row r="337" spans="1:6" ht="12.75" x14ac:dyDescent="0.2">
      <c r="A337" s="362"/>
      <c r="B337" s="362"/>
      <c r="C337" s="362"/>
      <c r="D337" s="362"/>
      <c r="E337" s="493"/>
      <c r="F337" s="387"/>
    </row>
    <row r="338" spans="1:6" ht="12.75" x14ac:dyDescent="0.2">
      <c r="A338" s="362"/>
      <c r="B338" s="362"/>
      <c r="C338" s="362"/>
      <c r="D338" s="362"/>
      <c r="E338" s="387"/>
      <c r="F338" s="387"/>
    </row>
    <row r="339" spans="1:6" ht="12.75" x14ac:dyDescent="0.2">
      <c r="A339" s="362"/>
      <c r="B339" s="362"/>
      <c r="C339" s="362"/>
      <c r="D339" s="362"/>
      <c r="E339" s="387"/>
      <c r="F339" s="387"/>
    </row>
    <row r="340" spans="1:6" ht="12.75" x14ac:dyDescent="0.2">
      <c r="A340" s="362"/>
      <c r="B340" s="362"/>
      <c r="C340" s="362"/>
      <c r="D340" s="362"/>
      <c r="E340" s="387"/>
      <c r="F340" s="387"/>
    </row>
    <row r="341" spans="1:6" ht="12.75" x14ac:dyDescent="0.2">
      <c r="A341" s="362"/>
      <c r="B341" s="362"/>
      <c r="C341" s="362"/>
      <c r="D341" s="362"/>
      <c r="E341" s="387"/>
      <c r="F341" s="387"/>
    </row>
    <row r="342" spans="1:6" ht="12.75" x14ac:dyDescent="0.2">
      <c r="A342" s="362"/>
      <c r="B342" s="362"/>
      <c r="C342" s="362"/>
      <c r="D342" s="362"/>
      <c r="E342" s="387"/>
      <c r="F342" s="387"/>
    </row>
    <row r="343" spans="1:6" ht="12.75" x14ac:dyDescent="0.2">
      <c r="A343" s="362"/>
      <c r="B343" s="362"/>
      <c r="C343" s="362"/>
      <c r="D343" s="362"/>
      <c r="E343" s="387"/>
      <c r="F343" s="387"/>
    </row>
    <row r="344" spans="1:6" ht="12.75" x14ac:dyDescent="0.2">
      <c r="A344" s="362"/>
      <c r="B344" s="362"/>
      <c r="C344" s="362"/>
      <c r="D344" s="362"/>
      <c r="E344" s="610" t="str">
        <f>[6]NOMBRE!B11</f>
        <v xml:space="preserve">DR. FRANCISCO MARTINEZ CAVALLA </v>
      </c>
      <c r="F344" s="610"/>
    </row>
    <row r="345" spans="1:6" ht="22.5" customHeight="1" x14ac:dyDescent="0.2">
      <c r="A345" s="362"/>
      <c r="B345" s="362"/>
      <c r="C345" s="362"/>
      <c r="D345" s="375"/>
      <c r="E345" s="609" t="str">
        <f>CONCATENATE("Director ",[6]NOMBRE!B1)</f>
        <v xml:space="preserve">Director </v>
      </c>
      <c r="F345" s="609"/>
    </row>
    <row r="346" spans="1:6" ht="12.75" x14ac:dyDescent="0.2">
      <c r="A346" s="362"/>
      <c r="B346" s="362"/>
      <c r="C346" s="362"/>
      <c r="D346" s="388"/>
      <c r="E346" s="362"/>
      <c r="F346" s="375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5" zoomScaleNormal="75" workbookViewId="0">
      <selection activeCell="A27" sqref="A27:E27"/>
    </sheetView>
  </sheetViews>
  <sheetFormatPr baseColWidth="10" defaultRowHeight="10.5" x14ac:dyDescent="0.15"/>
  <cols>
    <col min="1" max="1" width="20.28515625" style="501" customWidth="1"/>
    <col min="2" max="2" width="83.140625" style="501" customWidth="1"/>
    <col min="3" max="5" width="21.42578125" style="501" customWidth="1"/>
    <col min="6" max="6" width="19.5703125" style="502" customWidth="1"/>
    <col min="7" max="7" width="2.42578125" style="501" customWidth="1"/>
    <col min="8" max="9" width="5.140625" style="501" customWidth="1"/>
    <col min="10" max="256" width="11.42578125" style="501"/>
    <col min="257" max="257" width="20.28515625" style="501" customWidth="1"/>
    <col min="258" max="258" width="83.140625" style="501" customWidth="1"/>
    <col min="259" max="261" width="21.42578125" style="501" customWidth="1"/>
    <col min="262" max="262" width="19.5703125" style="501" customWidth="1"/>
    <col min="263" max="263" width="2.42578125" style="501" customWidth="1"/>
    <col min="264" max="265" width="5.140625" style="501" customWidth="1"/>
    <col min="266" max="512" width="11.42578125" style="501"/>
    <col min="513" max="513" width="20.28515625" style="501" customWidth="1"/>
    <col min="514" max="514" width="83.140625" style="501" customWidth="1"/>
    <col min="515" max="517" width="21.42578125" style="501" customWidth="1"/>
    <col min="518" max="518" width="19.5703125" style="501" customWidth="1"/>
    <col min="519" max="519" width="2.42578125" style="501" customWidth="1"/>
    <col min="520" max="521" width="5.140625" style="501" customWidth="1"/>
    <col min="522" max="768" width="11.42578125" style="501"/>
    <col min="769" max="769" width="20.28515625" style="501" customWidth="1"/>
    <col min="770" max="770" width="83.140625" style="501" customWidth="1"/>
    <col min="771" max="773" width="21.42578125" style="501" customWidth="1"/>
    <col min="774" max="774" width="19.5703125" style="501" customWidth="1"/>
    <col min="775" max="775" width="2.42578125" style="501" customWidth="1"/>
    <col min="776" max="777" width="5.140625" style="501" customWidth="1"/>
    <col min="778" max="1024" width="11.42578125" style="501"/>
    <col min="1025" max="1025" width="20.28515625" style="501" customWidth="1"/>
    <col min="1026" max="1026" width="83.140625" style="501" customWidth="1"/>
    <col min="1027" max="1029" width="21.42578125" style="501" customWidth="1"/>
    <col min="1030" max="1030" width="19.5703125" style="501" customWidth="1"/>
    <col min="1031" max="1031" width="2.42578125" style="501" customWidth="1"/>
    <col min="1032" max="1033" width="5.140625" style="501" customWidth="1"/>
    <col min="1034" max="1280" width="11.42578125" style="501"/>
    <col min="1281" max="1281" width="20.28515625" style="501" customWidth="1"/>
    <col min="1282" max="1282" width="83.140625" style="501" customWidth="1"/>
    <col min="1283" max="1285" width="21.42578125" style="501" customWidth="1"/>
    <col min="1286" max="1286" width="19.5703125" style="501" customWidth="1"/>
    <col min="1287" max="1287" width="2.42578125" style="501" customWidth="1"/>
    <col min="1288" max="1289" width="5.140625" style="501" customWidth="1"/>
    <col min="1290" max="1536" width="11.42578125" style="501"/>
    <col min="1537" max="1537" width="20.28515625" style="501" customWidth="1"/>
    <col min="1538" max="1538" width="83.140625" style="501" customWidth="1"/>
    <col min="1539" max="1541" width="21.42578125" style="501" customWidth="1"/>
    <col min="1542" max="1542" width="19.5703125" style="501" customWidth="1"/>
    <col min="1543" max="1543" width="2.42578125" style="501" customWidth="1"/>
    <col min="1544" max="1545" width="5.140625" style="501" customWidth="1"/>
    <col min="1546" max="1792" width="11.42578125" style="501"/>
    <col min="1793" max="1793" width="20.28515625" style="501" customWidth="1"/>
    <col min="1794" max="1794" width="83.140625" style="501" customWidth="1"/>
    <col min="1795" max="1797" width="21.42578125" style="501" customWidth="1"/>
    <col min="1798" max="1798" width="19.5703125" style="501" customWidth="1"/>
    <col min="1799" max="1799" width="2.42578125" style="501" customWidth="1"/>
    <col min="1800" max="1801" width="5.140625" style="501" customWidth="1"/>
    <col min="1802" max="2048" width="11.42578125" style="501"/>
    <col min="2049" max="2049" width="20.28515625" style="501" customWidth="1"/>
    <col min="2050" max="2050" width="83.140625" style="501" customWidth="1"/>
    <col min="2051" max="2053" width="21.42578125" style="501" customWidth="1"/>
    <col min="2054" max="2054" width="19.5703125" style="501" customWidth="1"/>
    <col min="2055" max="2055" width="2.42578125" style="501" customWidth="1"/>
    <col min="2056" max="2057" width="5.140625" style="501" customWidth="1"/>
    <col min="2058" max="2304" width="11.42578125" style="501"/>
    <col min="2305" max="2305" width="20.28515625" style="501" customWidth="1"/>
    <col min="2306" max="2306" width="83.140625" style="501" customWidth="1"/>
    <col min="2307" max="2309" width="21.42578125" style="501" customWidth="1"/>
    <col min="2310" max="2310" width="19.5703125" style="501" customWidth="1"/>
    <col min="2311" max="2311" width="2.42578125" style="501" customWidth="1"/>
    <col min="2312" max="2313" width="5.140625" style="501" customWidth="1"/>
    <col min="2314" max="2560" width="11.42578125" style="501"/>
    <col min="2561" max="2561" width="20.28515625" style="501" customWidth="1"/>
    <col min="2562" max="2562" width="83.140625" style="501" customWidth="1"/>
    <col min="2563" max="2565" width="21.42578125" style="501" customWidth="1"/>
    <col min="2566" max="2566" width="19.5703125" style="501" customWidth="1"/>
    <col min="2567" max="2567" width="2.42578125" style="501" customWidth="1"/>
    <col min="2568" max="2569" width="5.140625" style="501" customWidth="1"/>
    <col min="2570" max="2816" width="11.42578125" style="501"/>
    <col min="2817" max="2817" width="20.28515625" style="501" customWidth="1"/>
    <col min="2818" max="2818" width="83.140625" style="501" customWidth="1"/>
    <col min="2819" max="2821" width="21.42578125" style="501" customWidth="1"/>
    <col min="2822" max="2822" width="19.5703125" style="501" customWidth="1"/>
    <col min="2823" max="2823" width="2.42578125" style="501" customWidth="1"/>
    <col min="2824" max="2825" width="5.140625" style="501" customWidth="1"/>
    <col min="2826" max="3072" width="11.42578125" style="501"/>
    <col min="3073" max="3073" width="20.28515625" style="501" customWidth="1"/>
    <col min="3074" max="3074" width="83.140625" style="501" customWidth="1"/>
    <col min="3075" max="3077" width="21.42578125" style="501" customWidth="1"/>
    <col min="3078" max="3078" width="19.5703125" style="501" customWidth="1"/>
    <col min="3079" max="3079" width="2.42578125" style="501" customWidth="1"/>
    <col min="3080" max="3081" width="5.140625" style="501" customWidth="1"/>
    <col min="3082" max="3328" width="11.42578125" style="501"/>
    <col min="3329" max="3329" width="20.28515625" style="501" customWidth="1"/>
    <col min="3330" max="3330" width="83.140625" style="501" customWidth="1"/>
    <col min="3331" max="3333" width="21.42578125" style="501" customWidth="1"/>
    <col min="3334" max="3334" width="19.5703125" style="501" customWidth="1"/>
    <col min="3335" max="3335" width="2.42578125" style="501" customWidth="1"/>
    <col min="3336" max="3337" width="5.140625" style="501" customWidth="1"/>
    <col min="3338" max="3584" width="11.42578125" style="501"/>
    <col min="3585" max="3585" width="20.28515625" style="501" customWidth="1"/>
    <col min="3586" max="3586" width="83.140625" style="501" customWidth="1"/>
    <col min="3587" max="3589" width="21.42578125" style="501" customWidth="1"/>
    <col min="3590" max="3590" width="19.5703125" style="501" customWidth="1"/>
    <col min="3591" max="3591" width="2.42578125" style="501" customWidth="1"/>
    <col min="3592" max="3593" width="5.140625" style="501" customWidth="1"/>
    <col min="3594" max="3840" width="11.42578125" style="501"/>
    <col min="3841" max="3841" width="20.28515625" style="501" customWidth="1"/>
    <col min="3842" max="3842" width="83.140625" style="501" customWidth="1"/>
    <col min="3843" max="3845" width="21.42578125" style="501" customWidth="1"/>
    <col min="3846" max="3846" width="19.5703125" style="501" customWidth="1"/>
    <col min="3847" max="3847" width="2.42578125" style="501" customWidth="1"/>
    <col min="3848" max="3849" width="5.140625" style="501" customWidth="1"/>
    <col min="3850" max="4096" width="11.42578125" style="501"/>
    <col min="4097" max="4097" width="20.28515625" style="501" customWidth="1"/>
    <col min="4098" max="4098" width="83.140625" style="501" customWidth="1"/>
    <col min="4099" max="4101" width="21.42578125" style="501" customWidth="1"/>
    <col min="4102" max="4102" width="19.5703125" style="501" customWidth="1"/>
    <col min="4103" max="4103" width="2.42578125" style="501" customWidth="1"/>
    <col min="4104" max="4105" width="5.140625" style="501" customWidth="1"/>
    <col min="4106" max="4352" width="11.42578125" style="501"/>
    <col min="4353" max="4353" width="20.28515625" style="501" customWidth="1"/>
    <col min="4354" max="4354" width="83.140625" style="501" customWidth="1"/>
    <col min="4355" max="4357" width="21.42578125" style="501" customWidth="1"/>
    <col min="4358" max="4358" width="19.5703125" style="501" customWidth="1"/>
    <col min="4359" max="4359" width="2.42578125" style="501" customWidth="1"/>
    <col min="4360" max="4361" width="5.140625" style="501" customWidth="1"/>
    <col min="4362" max="4608" width="11.42578125" style="501"/>
    <col min="4609" max="4609" width="20.28515625" style="501" customWidth="1"/>
    <col min="4610" max="4610" width="83.140625" style="501" customWidth="1"/>
    <col min="4611" max="4613" width="21.42578125" style="501" customWidth="1"/>
    <col min="4614" max="4614" width="19.5703125" style="501" customWidth="1"/>
    <col min="4615" max="4615" width="2.42578125" style="501" customWidth="1"/>
    <col min="4616" max="4617" width="5.140625" style="501" customWidth="1"/>
    <col min="4618" max="4864" width="11.42578125" style="501"/>
    <col min="4865" max="4865" width="20.28515625" style="501" customWidth="1"/>
    <col min="4866" max="4866" width="83.140625" style="501" customWidth="1"/>
    <col min="4867" max="4869" width="21.42578125" style="501" customWidth="1"/>
    <col min="4870" max="4870" width="19.5703125" style="501" customWidth="1"/>
    <col min="4871" max="4871" width="2.42578125" style="501" customWidth="1"/>
    <col min="4872" max="4873" width="5.140625" style="501" customWidth="1"/>
    <col min="4874" max="5120" width="11.42578125" style="501"/>
    <col min="5121" max="5121" width="20.28515625" style="501" customWidth="1"/>
    <col min="5122" max="5122" width="83.140625" style="501" customWidth="1"/>
    <col min="5123" max="5125" width="21.42578125" style="501" customWidth="1"/>
    <col min="5126" max="5126" width="19.5703125" style="501" customWidth="1"/>
    <col min="5127" max="5127" width="2.42578125" style="501" customWidth="1"/>
    <col min="5128" max="5129" width="5.140625" style="501" customWidth="1"/>
    <col min="5130" max="5376" width="11.42578125" style="501"/>
    <col min="5377" max="5377" width="20.28515625" style="501" customWidth="1"/>
    <col min="5378" max="5378" width="83.140625" style="501" customWidth="1"/>
    <col min="5379" max="5381" width="21.42578125" style="501" customWidth="1"/>
    <col min="5382" max="5382" width="19.5703125" style="501" customWidth="1"/>
    <col min="5383" max="5383" width="2.42578125" style="501" customWidth="1"/>
    <col min="5384" max="5385" width="5.140625" style="501" customWidth="1"/>
    <col min="5386" max="5632" width="11.42578125" style="501"/>
    <col min="5633" max="5633" width="20.28515625" style="501" customWidth="1"/>
    <col min="5634" max="5634" width="83.140625" style="501" customWidth="1"/>
    <col min="5635" max="5637" width="21.42578125" style="501" customWidth="1"/>
    <col min="5638" max="5638" width="19.5703125" style="501" customWidth="1"/>
    <col min="5639" max="5639" width="2.42578125" style="501" customWidth="1"/>
    <col min="5640" max="5641" width="5.140625" style="501" customWidth="1"/>
    <col min="5642" max="5888" width="11.42578125" style="501"/>
    <col min="5889" max="5889" width="20.28515625" style="501" customWidth="1"/>
    <col min="5890" max="5890" width="83.140625" style="501" customWidth="1"/>
    <col min="5891" max="5893" width="21.42578125" style="501" customWidth="1"/>
    <col min="5894" max="5894" width="19.5703125" style="501" customWidth="1"/>
    <col min="5895" max="5895" width="2.42578125" style="501" customWidth="1"/>
    <col min="5896" max="5897" width="5.140625" style="501" customWidth="1"/>
    <col min="5898" max="6144" width="11.42578125" style="501"/>
    <col min="6145" max="6145" width="20.28515625" style="501" customWidth="1"/>
    <col min="6146" max="6146" width="83.140625" style="501" customWidth="1"/>
    <col min="6147" max="6149" width="21.42578125" style="501" customWidth="1"/>
    <col min="6150" max="6150" width="19.5703125" style="501" customWidth="1"/>
    <col min="6151" max="6151" width="2.42578125" style="501" customWidth="1"/>
    <col min="6152" max="6153" width="5.140625" style="501" customWidth="1"/>
    <col min="6154" max="6400" width="11.42578125" style="501"/>
    <col min="6401" max="6401" width="20.28515625" style="501" customWidth="1"/>
    <col min="6402" max="6402" width="83.140625" style="501" customWidth="1"/>
    <col min="6403" max="6405" width="21.42578125" style="501" customWidth="1"/>
    <col min="6406" max="6406" width="19.5703125" style="501" customWidth="1"/>
    <col min="6407" max="6407" width="2.42578125" style="501" customWidth="1"/>
    <col min="6408" max="6409" width="5.140625" style="501" customWidth="1"/>
    <col min="6410" max="6656" width="11.42578125" style="501"/>
    <col min="6657" max="6657" width="20.28515625" style="501" customWidth="1"/>
    <col min="6658" max="6658" width="83.140625" style="501" customWidth="1"/>
    <col min="6659" max="6661" width="21.42578125" style="501" customWidth="1"/>
    <col min="6662" max="6662" width="19.5703125" style="501" customWidth="1"/>
    <col min="6663" max="6663" width="2.42578125" style="501" customWidth="1"/>
    <col min="6664" max="6665" width="5.140625" style="501" customWidth="1"/>
    <col min="6666" max="6912" width="11.42578125" style="501"/>
    <col min="6913" max="6913" width="20.28515625" style="501" customWidth="1"/>
    <col min="6914" max="6914" width="83.140625" style="501" customWidth="1"/>
    <col min="6915" max="6917" width="21.42578125" style="501" customWidth="1"/>
    <col min="6918" max="6918" width="19.5703125" style="501" customWidth="1"/>
    <col min="6919" max="6919" width="2.42578125" style="501" customWidth="1"/>
    <col min="6920" max="6921" width="5.140625" style="501" customWidth="1"/>
    <col min="6922" max="7168" width="11.42578125" style="501"/>
    <col min="7169" max="7169" width="20.28515625" style="501" customWidth="1"/>
    <col min="7170" max="7170" width="83.140625" style="501" customWidth="1"/>
    <col min="7171" max="7173" width="21.42578125" style="501" customWidth="1"/>
    <col min="7174" max="7174" width="19.5703125" style="501" customWidth="1"/>
    <col min="7175" max="7175" width="2.42578125" style="501" customWidth="1"/>
    <col min="7176" max="7177" width="5.140625" style="501" customWidth="1"/>
    <col min="7178" max="7424" width="11.42578125" style="501"/>
    <col min="7425" max="7425" width="20.28515625" style="501" customWidth="1"/>
    <col min="7426" max="7426" width="83.140625" style="501" customWidth="1"/>
    <col min="7427" max="7429" width="21.42578125" style="501" customWidth="1"/>
    <col min="7430" max="7430" width="19.5703125" style="501" customWidth="1"/>
    <col min="7431" max="7431" width="2.42578125" style="501" customWidth="1"/>
    <col min="7432" max="7433" width="5.140625" style="501" customWidth="1"/>
    <col min="7434" max="7680" width="11.42578125" style="501"/>
    <col min="7681" max="7681" width="20.28515625" style="501" customWidth="1"/>
    <col min="7682" max="7682" width="83.140625" style="501" customWidth="1"/>
    <col min="7683" max="7685" width="21.42578125" style="501" customWidth="1"/>
    <col min="7686" max="7686" width="19.5703125" style="501" customWidth="1"/>
    <col min="7687" max="7687" width="2.42578125" style="501" customWidth="1"/>
    <col min="7688" max="7689" width="5.140625" style="501" customWidth="1"/>
    <col min="7690" max="7936" width="11.42578125" style="501"/>
    <col min="7937" max="7937" width="20.28515625" style="501" customWidth="1"/>
    <col min="7938" max="7938" width="83.140625" style="501" customWidth="1"/>
    <col min="7939" max="7941" width="21.42578125" style="501" customWidth="1"/>
    <col min="7942" max="7942" width="19.5703125" style="501" customWidth="1"/>
    <col min="7943" max="7943" width="2.42578125" style="501" customWidth="1"/>
    <col min="7944" max="7945" width="5.140625" style="501" customWidth="1"/>
    <col min="7946" max="8192" width="11.42578125" style="501"/>
    <col min="8193" max="8193" width="20.28515625" style="501" customWidth="1"/>
    <col min="8194" max="8194" width="83.140625" style="501" customWidth="1"/>
    <col min="8195" max="8197" width="21.42578125" style="501" customWidth="1"/>
    <col min="8198" max="8198" width="19.5703125" style="501" customWidth="1"/>
    <col min="8199" max="8199" width="2.42578125" style="501" customWidth="1"/>
    <col min="8200" max="8201" width="5.140625" style="501" customWidth="1"/>
    <col min="8202" max="8448" width="11.42578125" style="501"/>
    <col min="8449" max="8449" width="20.28515625" style="501" customWidth="1"/>
    <col min="8450" max="8450" width="83.140625" style="501" customWidth="1"/>
    <col min="8451" max="8453" width="21.42578125" style="501" customWidth="1"/>
    <col min="8454" max="8454" width="19.5703125" style="501" customWidth="1"/>
    <col min="8455" max="8455" width="2.42578125" style="501" customWidth="1"/>
    <col min="8456" max="8457" width="5.140625" style="501" customWidth="1"/>
    <col min="8458" max="8704" width="11.42578125" style="501"/>
    <col min="8705" max="8705" width="20.28515625" style="501" customWidth="1"/>
    <col min="8706" max="8706" width="83.140625" style="501" customWidth="1"/>
    <col min="8707" max="8709" width="21.42578125" style="501" customWidth="1"/>
    <col min="8710" max="8710" width="19.5703125" style="501" customWidth="1"/>
    <col min="8711" max="8711" width="2.42578125" style="501" customWidth="1"/>
    <col min="8712" max="8713" width="5.140625" style="501" customWidth="1"/>
    <col min="8714" max="8960" width="11.42578125" style="501"/>
    <col min="8961" max="8961" width="20.28515625" style="501" customWidth="1"/>
    <col min="8962" max="8962" width="83.140625" style="501" customWidth="1"/>
    <col min="8963" max="8965" width="21.42578125" style="501" customWidth="1"/>
    <col min="8966" max="8966" width="19.5703125" style="501" customWidth="1"/>
    <col min="8967" max="8967" width="2.42578125" style="501" customWidth="1"/>
    <col min="8968" max="8969" width="5.140625" style="501" customWidth="1"/>
    <col min="8970" max="9216" width="11.42578125" style="501"/>
    <col min="9217" max="9217" width="20.28515625" style="501" customWidth="1"/>
    <col min="9218" max="9218" width="83.140625" style="501" customWidth="1"/>
    <col min="9219" max="9221" width="21.42578125" style="501" customWidth="1"/>
    <col min="9222" max="9222" width="19.5703125" style="501" customWidth="1"/>
    <col min="9223" max="9223" width="2.42578125" style="501" customWidth="1"/>
    <col min="9224" max="9225" width="5.140625" style="501" customWidth="1"/>
    <col min="9226" max="9472" width="11.42578125" style="501"/>
    <col min="9473" max="9473" width="20.28515625" style="501" customWidth="1"/>
    <col min="9474" max="9474" width="83.140625" style="501" customWidth="1"/>
    <col min="9475" max="9477" width="21.42578125" style="501" customWidth="1"/>
    <col min="9478" max="9478" width="19.5703125" style="501" customWidth="1"/>
    <col min="9479" max="9479" width="2.42578125" style="501" customWidth="1"/>
    <col min="9480" max="9481" width="5.140625" style="501" customWidth="1"/>
    <col min="9482" max="9728" width="11.42578125" style="501"/>
    <col min="9729" max="9729" width="20.28515625" style="501" customWidth="1"/>
    <col min="9730" max="9730" width="83.140625" style="501" customWidth="1"/>
    <col min="9731" max="9733" width="21.42578125" style="501" customWidth="1"/>
    <col min="9734" max="9734" width="19.5703125" style="501" customWidth="1"/>
    <col min="9735" max="9735" width="2.42578125" style="501" customWidth="1"/>
    <col min="9736" max="9737" width="5.140625" style="501" customWidth="1"/>
    <col min="9738" max="9984" width="11.42578125" style="501"/>
    <col min="9985" max="9985" width="20.28515625" style="501" customWidth="1"/>
    <col min="9986" max="9986" width="83.140625" style="501" customWidth="1"/>
    <col min="9987" max="9989" width="21.42578125" style="501" customWidth="1"/>
    <col min="9990" max="9990" width="19.5703125" style="501" customWidth="1"/>
    <col min="9991" max="9991" width="2.42578125" style="501" customWidth="1"/>
    <col min="9992" max="9993" width="5.140625" style="501" customWidth="1"/>
    <col min="9994" max="10240" width="11.42578125" style="501"/>
    <col min="10241" max="10241" width="20.28515625" style="501" customWidth="1"/>
    <col min="10242" max="10242" width="83.140625" style="501" customWidth="1"/>
    <col min="10243" max="10245" width="21.42578125" style="501" customWidth="1"/>
    <col min="10246" max="10246" width="19.5703125" style="501" customWidth="1"/>
    <col min="10247" max="10247" width="2.42578125" style="501" customWidth="1"/>
    <col min="10248" max="10249" width="5.140625" style="501" customWidth="1"/>
    <col min="10250" max="10496" width="11.42578125" style="501"/>
    <col min="10497" max="10497" width="20.28515625" style="501" customWidth="1"/>
    <col min="10498" max="10498" width="83.140625" style="501" customWidth="1"/>
    <col min="10499" max="10501" width="21.42578125" style="501" customWidth="1"/>
    <col min="10502" max="10502" width="19.5703125" style="501" customWidth="1"/>
    <col min="10503" max="10503" width="2.42578125" style="501" customWidth="1"/>
    <col min="10504" max="10505" width="5.140625" style="501" customWidth="1"/>
    <col min="10506" max="10752" width="11.42578125" style="501"/>
    <col min="10753" max="10753" width="20.28515625" style="501" customWidth="1"/>
    <col min="10754" max="10754" width="83.140625" style="501" customWidth="1"/>
    <col min="10755" max="10757" width="21.42578125" style="501" customWidth="1"/>
    <col min="10758" max="10758" width="19.5703125" style="501" customWidth="1"/>
    <col min="10759" max="10759" width="2.42578125" style="501" customWidth="1"/>
    <col min="10760" max="10761" width="5.140625" style="501" customWidth="1"/>
    <col min="10762" max="11008" width="11.42578125" style="501"/>
    <col min="11009" max="11009" width="20.28515625" style="501" customWidth="1"/>
    <col min="11010" max="11010" width="83.140625" style="501" customWidth="1"/>
    <col min="11011" max="11013" width="21.42578125" style="501" customWidth="1"/>
    <col min="11014" max="11014" width="19.5703125" style="501" customWidth="1"/>
    <col min="11015" max="11015" width="2.42578125" style="501" customWidth="1"/>
    <col min="11016" max="11017" width="5.140625" style="501" customWidth="1"/>
    <col min="11018" max="11264" width="11.42578125" style="501"/>
    <col min="11265" max="11265" width="20.28515625" style="501" customWidth="1"/>
    <col min="11266" max="11266" width="83.140625" style="501" customWidth="1"/>
    <col min="11267" max="11269" width="21.42578125" style="501" customWidth="1"/>
    <col min="11270" max="11270" width="19.5703125" style="501" customWidth="1"/>
    <col min="11271" max="11271" width="2.42578125" style="501" customWidth="1"/>
    <col min="11272" max="11273" width="5.140625" style="501" customWidth="1"/>
    <col min="11274" max="11520" width="11.42578125" style="501"/>
    <col min="11521" max="11521" width="20.28515625" style="501" customWidth="1"/>
    <col min="11522" max="11522" width="83.140625" style="501" customWidth="1"/>
    <col min="11523" max="11525" width="21.42578125" style="501" customWidth="1"/>
    <col min="11526" max="11526" width="19.5703125" style="501" customWidth="1"/>
    <col min="11527" max="11527" width="2.42578125" style="501" customWidth="1"/>
    <col min="11528" max="11529" width="5.140625" style="501" customWidth="1"/>
    <col min="11530" max="11776" width="11.42578125" style="501"/>
    <col min="11777" max="11777" width="20.28515625" style="501" customWidth="1"/>
    <col min="11778" max="11778" width="83.140625" style="501" customWidth="1"/>
    <col min="11779" max="11781" width="21.42578125" style="501" customWidth="1"/>
    <col min="11782" max="11782" width="19.5703125" style="501" customWidth="1"/>
    <col min="11783" max="11783" width="2.42578125" style="501" customWidth="1"/>
    <col min="11784" max="11785" width="5.140625" style="501" customWidth="1"/>
    <col min="11786" max="12032" width="11.42578125" style="501"/>
    <col min="12033" max="12033" width="20.28515625" style="501" customWidth="1"/>
    <col min="12034" max="12034" width="83.140625" style="501" customWidth="1"/>
    <col min="12035" max="12037" width="21.42578125" style="501" customWidth="1"/>
    <col min="12038" max="12038" width="19.5703125" style="501" customWidth="1"/>
    <col min="12039" max="12039" width="2.42578125" style="501" customWidth="1"/>
    <col min="12040" max="12041" width="5.140625" style="501" customWidth="1"/>
    <col min="12042" max="12288" width="11.42578125" style="501"/>
    <col min="12289" max="12289" width="20.28515625" style="501" customWidth="1"/>
    <col min="12290" max="12290" width="83.140625" style="501" customWidth="1"/>
    <col min="12291" max="12293" width="21.42578125" style="501" customWidth="1"/>
    <col min="12294" max="12294" width="19.5703125" style="501" customWidth="1"/>
    <col min="12295" max="12295" width="2.42578125" style="501" customWidth="1"/>
    <col min="12296" max="12297" width="5.140625" style="501" customWidth="1"/>
    <col min="12298" max="12544" width="11.42578125" style="501"/>
    <col min="12545" max="12545" width="20.28515625" style="501" customWidth="1"/>
    <col min="12546" max="12546" width="83.140625" style="501" customWidth="1"/>
    <col min="12547" max="12549" width="21.42578125" style="501" customWidth="1"/>
    <col min="12550" max="12550" width="19.5703125" style="501" customWidth="1"/>
    <col min="12551" max="12551" width="2.42578125" style="501" customWidth="1"/>
    <col min="12552" max="12553" width="5.140625" style="501" customWidth="1"/>
    <col min="12554" max="12800" width="11.42578125" style="501"/>
    <col min="12801" max="12801" width="20.28515625" style="501" customWidth="1"/>
    <col min="12802" max="12802" width="83.140625" style="501" customWidth="1"/>
    <col min="12803" max="12805" width="21.42578125" style="501" customWidth="1"/>
    <col min="12806" max="12806" width="19.5703125" style="501" customWidth="1"/>
    <col min="12807" max="12807" width="2.42578125" style="501" customWidth="1"/>
    <col min="12808" max="12809" width="5.140625" style="501" customWidth="1"/>
    <col min="12810" max="13056" width="11.42578125" style="501"/>
    <col min="13057" max="13057" width="20.28515625" style="501" customWidth="1"/>
    <col min="13058" max="13058" width="83.140625" style="501" customWidth="1"/>
    <col min="13059" max="13061" width="21.42578125" style="501" customWidth="1"/>
    <col min="13062" max="13062" width="19.5703125" style="501" customWidth="1"/>
    <col min="13063" max="13063" width="2.42578125" style="501" customWidth="1"/>
    <col min="13064" max="13065" width="5.140625" style="501" customWidth="1"/>
    <col min="13066" max="13312" width="11.42578125" style="501"/>
    <col min="13313" max="13313" width="20.28515625" style="501" customWidth="1"/>
    <col min="13314" max="13314" width="83.140625" style="501" customWidth="1"/>
    <col min="13315" max="13317" width="21.42578125" style="501" customWidth="1"/>
    <col min="13318" max="13318" width="19.5703125" style="501" customWidth="1"/>
    <col min="13319" max="13319" width="2.42578125" style="501" customWidth="1"/>
    <col min="13320" max="13321" width="5.140625" style="501" customWidth="1"/>
    <col min="13322" max="13568" width="11.42578125" style="501"/>
    <col min="13569" max="13569" width="20.28515625" style="501" customWidth="1"/>
    <col min="13570" max="13570" width="83.140625" style="501" customWidth="1"/>
    <col min="13571" max="13573" width="21.42578125" style="501" customWidth="1"/>
    <col min="13574" max="13574" width="19.5703125" style="501" customWidth="1"/>
    <col min="13575" max="13575" width="2.42578125" style="501" customWidth="1"/>
    <col min="13576" max="13577" width="5.140625" style="501" customWidth="1"/>
    <col min="13578" max="13824" width="11.42578125" style="501"/>
    <col min="13825" max="13825" width="20.28515625" style="501" customWidth="1"/>
    <col min="13826" max="13826" width="83.140625" style="501" customWidth="1"/>
    <col min="13827" max="13829" width="21.42578125" style="501" customWidth="1"/>
    <col min="13830" max="13830" width="19.5703125" style="501" customWidth="1"/>
    <col min="13831" max="13831" width="2.42578125" style="501" customWidth="1"/>
    <col min="13832" max="13833" width="5.140625" style="501" customWidth="1"/>
    <col min="13834" max="14080" width="11.42578125" style="501"/>
    <col min="14081" max="14081" width="20.28515625" style="501" customWidth="1"/>
    <col min="14082" max="14082" width="83.140625" style="501" customWidth="1"/>
    <col min="14083" max="14085" width="21.42578125" style="501" customWidth="1"/>
    <col min="14086" max="14086" width="19.5703125" style="501" customWidth="1"/>
    <col min="14087" max="14087" width="2.42578125" style="501" customWidth="1"/>
    <col min="14088" max="14089" width="5.140625" style="501" customWidth="1"/>
    <col min="14090" max="14336" width="11.42578125" style="501"/>
    <col min="14337" max="14337" width="20.28515625" style="501" customWidth="1"/>
    <col min="14338" max="14338" width="83.140625" style="501" customWidth="1"/>
    <col min="14339" max="14341" width="21.42578125" style="501" customWidth="1"/>
    <col min="14342" max="14342" width="19.5703125" style="501" customWidth="1"/>
    <col min="14343" max="14343" width="2.42578125" style="501" customWidth="1"/>
    <col min="14344" max="14345" width="5.140625" style="501" customWidth="1"/>
    <col min="14346" max="14592" width="11.42578125" style="501"/>
    <col min="14593" max="14593" width="20.28515625" style="501" customWidth="1"/>
    <col min="14594" max="14594" width="83.140625" style="501" customWidth="1"/>
    <col min="14595" max="14597" width="21.42578125" style="501" customWidth="1"/>
    <col min="14598" max="14598" width="19.5703125" style="501" customWidth="1"/>
    <col min="14599" max="14599" width="2.42578125" style="501" customWidth="1"/>
    <col min="14600" max="14601" width="5.140625" style="501" customWidth="1"/>
    <col min="14602" max="14848" width="11.42578125" style="501"/>
    <col min="14849" max="14849" width="20.28515625" style="501" customWidth="1"/>
    <col min="14850" max="14850" width="83.140625" style="501" customWidth="1"/>
    <col min="14851" max="14853" width="21.42578125" style="501" customWidth="1"/>
    <col min="14854" max="14854" width="19.5703125" style="501" customWidth="1"/>
    <col min="14855" max="14855" width="2.42578125" style="501" customWidth="1"/>
    <col min="14856" max="14857" width="5.140625" style="501" customWidth="1"/>
    <col min="14858" max="15104" width="11.42578125" style="501"/>
    <col min="15105" max="15105" width="20.28515625" style="501" customWidth="1"/>
    <col min="15106" max="15106" width="83.140625" style="501" customWidth="1"/>
    <col min="15107" max="15109" width="21.42578125" style="501" customWidth="1"/>
    <col min="15110" max="15110" width="19.5703125" style="501" customWidth="1"/>
    <col min="15111" max="15111" width="2.42578125" style="501" customWidth="1"/>
    <col min="15112" max="15113" width="5.140625" style="501" customWidth="1"/>
    <col min="15114" max="15360" width="11.42578125" style="501"/>
    <col min="15361" max="15361" width="20.28515625" style="501" customWidth="1"/>
    <col min="15362" max="15362" width="83.140625" style="501" customWidth="1"/>
    <col min="15363" max="15365" width="21.42578125" style="501" customWidth="1"/>
    <col min="15366" max="15366" width="19.5703125" style="501" customWidth="1"/>
    <col min="15367" max="15367" width="2.42578125" style="501" customWidth="1"/>
    <col min="15368" max="15369" width="5.140625" style="501" customWidth="1"/>
    <col min="15370" max="15616" width="11.42578125" style="501"/>
    <col min="15617" max="15617" width="20.28515625" style="501" customWidth="1"/>
    <col min="15618" max="15618" width="83.140625" style="501" customWidth="1"/>
    <col min="15619" max="15621" width="21.42578125" style="501" customWidth="1"/>
    <col min="15622" max="15622" width="19.5703125" style="501" customWidth="1"/>
    <col min="15623" max="15623" width="2.42578125" style="501" customWidth="1"/>
    <col min="15624" max="15625" width="5.140625" style="501" customWidth="1"/>
    <col min="15626" max="15872" width="11.42578125" style="501"/>
    <col min="15873" max="15873" width="20.28515625" style="501" customWidth="1"/>
    <col min="15874" max="15874" width="83.140625" style="501" customWidth="1"/>
    <col min="15875" max="15877" width="21.42578125" style="501" customWidth="1"/>
    <col min="15878" max="15878" width="19.5703125" style="501" customWidth="1"/>
    <col min="15879" max="15879" width="2.42578125" style="501" customWidth="1"/>
    <col min="15880" max="15881" width="5.140625" style="501" customWidth="1"/>
    <col min="15882" max="16128" width="11.42578125" style="501"/>
    <col min="16129" max="16129" width="20.28515625" style="501" customWidth="1"/>
    <col min="16130" max="16130" width="83.140625" style="501" customWidth="1"/>
    <col min="16131" max="16133" width="21.42578125" style="501" customWidth="1"/>
    <col min="16134" max="16134" width="19.5703125" style="501" customWidth="1"/>
    <col min="16135" max="16135" width="2.42578125" style="501" customWidth="1"/>
    <col min="16136" max="16137" width="5.140625" style="501" customWidth="1"/>
    <col min="16138" max="16384" width="11.42578125" style="501"/>
  </cols>
  <sheetData>
    <row r="1" spans="1:7" ht="12.75" x14ac:dyDescent="0.2">
      <c r="A1" s="256" t="s">
        <v>0</v>
      </c>
      <c r="B1" s="257"/>
      <c r="C1" s="577" t="s">
        <v>1</v>
      </c>
      <c r="D1" s="578"/>
      <c r="E1" s="579"/>
      <c r="F1" s="258"/>
    </row>
    <row r="2" spans="1:7" ht="12.75" x14ac:dyDescent="0.2">
      <c r="A2" s="256" t="str">
        <f>CONCATENATE("COMUNA: ",[7]NOMBRE!B2," - ","( ",[7]NOMBRE!C2,[7]NOMBRE!D2,[7]NOMBRE!E2,[7]NOMBRE!F2,[7]NOMBRE!G2," )")</f>
        <v>COMUNA: LINARES - ( 07401 )</v>
      </c>
      <c r="B2" s="257"/>
      <c r="C2" s="580"/>
      <c r="D2" s="581"/>
      <c r="E2" s="582"/>
      <c r="F2" s="259"/>
      <c r="G2" s="260"/>
    </row>
    <row r="3" spans="1:7" ht="12.75" x14ac:dyDescent="0.2">
      <c r="A3" s="256" t="str">
        <f>CONCATENATE("ESTABLECIMIENTO/ESTRATEGIA: ",[7]NOMBRE!B3," - ","( ",[7]NOMBRE!C3,[7]NOMBRE!D3,[7]NOMBRE!E3,[7]NOMBRE!F3,[7]NOMBRE!G3,[7]NOMBRE!H3," )")</f>
        <v>ESTABLECIMIENTO/ESTRATEGIA: HOSPITAL DE LINARES  - ( 116108 )</v>
      </c>
      <c r="B3" s="257"/>
      <c r="C3" s="577" t="s">
        <v>2</v>
      </c>
      <c r="D3" s="578"/>
      <c r="E3" s="579"/>
      <c r="F3" s="259"/>
      <c r="G3" s="261"/>
    </row>
    <row r="4" spans="1:7" ht="12.75" x14ac:dyDescent="0.2">
      <c r="A4" s="256" t="str">
        <f>CONCATENATE("MES: ",[7]NOMBRE!B6," - ","( ",[7]NOMBRE!C6,[7]NOMBRE!D6," )")</f>
        <v>MES: JULIO - ( 07 )</v>
      </c>
      <c r="B4" s="257"/>
      <c r="C4" s="580" t="str">
        <f>CONCATENATE([7]NOMBRE!B6," ","( ",[7]NOMBRE!C6,[7]NOMBRE!D6," )")</f>
        <v>JULIO ( 07 )</v>
      </c>
      <c r="D4" s="581"/>
      <c r="E4" s="582"/>
      <c r="F4" s="259"/>
      <c r="G4" s="261"/>
    </row>
    <row r="5" spans="1:7" ht="12.75" x14ac:dyDescent="0.2">
      <c r="A5" s="256" t="str">
        <f>CONCATENATE("AÑO: ",[7]NOMBRE!B7)</f>
        <v>AÑO: 2014</v>
      </c>
      <c r="B5" s="257"/>
      <c r="C5" s="577" t="s">
        <v>3</v>
      </c>
      <c r="D5" s="578"/>
      <c r="E5" s="579"/>
      <c r="F5" s="259"/>
      <c r="G5" s="261"/>
    </row>
    <row r="6" spans="1:7" ht="12.75" x14ac:dyDescent="0.2">
      <c r="A6" s="262"/>
      <c r="B6" s="262"/>
      <c r="C6" s="580">
        <f>[7]NOMBRE!B7</f>
        <v>2014</v>
      </c>
      <c r="D6" s="581"/>
      <c r="E6" s="582"/>
      <c r="F6" s="259"/>
      <c r="G6" s="261"/>
    </row>
    <row r="7" spans="1:7" ht="15" x14ac:dyDescent="0.2">
      <c r="A7" s="589" t="s">
        <v>4</v>
      </c>
      <c r="B7" s="590"/>
      <c r="C7" s="594" t="s">
        <v>5</v>
      </c>
      <c r="D7" s="595"/>
      <c r="E7" s="596"/>
      <c r="F7" s="259"/>
      <c r="G7" s="261"/>
    </row>
    <row r="8" spans="1:7" ht="15" x14ac:dyDescent="0.2">
      <c r="A8" s="262"/>
      <c r="B8" s="500" t="s">
        <v>6</v>
      </c>
      <c r="C8" s="580" t="str">
        <f>CONCATENATE([7]NOMBRE!B3," ","( ",[7]NOMBRE!C3,[7]NOMBRE!D3,[7]NOMBRE!E3,[7]NOMBRE!F3,[7]NOMBRE!G3," )")</f>
        <v>HOSPITAL DE LINARES  ( 11610 )</v>
      </c>
      <c r="D8" s="581"/>
      <c r="E8" s="582"/>
      <c r="F8" s="259"/>
      <c r="G8" s="261"/>
    </row>
    <row r="9" spans="1:7" ht="12.75" x14ac:dyDescent="0.2">
      <c r="A9" s="262"/>
      <c r="B9" s="262"/>
      <c r="C9" s="262"/>
      <c r="D9" s="262"/>
      <c r="E9" s="262"/>
      <c r="F9" s="259"/>
      <c r="G9" s="261"/>
    </row>
    <row r="10" spans="1:7" ht="12.75" x14ac:dyDescent="0.2">
      <c r="A10" s="262"/>
      <c r="B10" s="262"/>
      <c r="C10" s="262"/>
      <c r="D10" s="262"/>
      <c r="E10" s="262"/>
      <c r="F10" s="259"/>
      <c r="G10" s="263"/>
    </row>
    <row r="11" spans="1:7" ht="12.75" x14ac:dyDescent="0.2">
      <c r="A11" s="583" t="s">
        <v>7</v>
      </c>
      <c r="B11" s="584"/>
      <c r="C11" s="584"/>
      <c r="D11" s="584"/>
      <c r="E11" s="585"/>
      <c r="F11" s="259"/>
    </row>
    <row r="12" spans="1:7" ht="43.5" customHeight="1" x14ac:dyDescent="0.2">
      <c r="A12" s="264" t="s">
        <v>8</v>
      </c>
      <c r="B12" s="264" t="s">
        <v>9</v>
      </c>
      <c r="C12" s="495" t="s">
        <v>10</v>
      </c>
      <c r="D12" s="310" t="s">
        <v>11</v>
      </c>
      <c r="E12" s="497" t="s">
        <v>12</v>
      </c>
      <c r="F12" s="262"/>
    </row>
    <row r="13" spans="1:7" ht="12.75" customHeight="1" x14ac:dyDescent="0.2">
      <c r="A13" s="586" t="s">
        <v>13</v>
      </c>
      <c r="B13" s="587"/>
      <c r="C13" s="587"/>
      <c r="D13" s="587"/>
      <c r="E13" s="588"/>
      <c r="F13" s="262"/>
    </row>
    <row r="14" spans="1:7" ht="15" customHeight="1" x14ac:dyDescent="0.2">
      <c r="A14" s="434" t="s">
        <v>14</v>
      </c>
      <c r="B14" s="443" t="s">
        <v>15</v>
      </c>
      <c r="C14" s="380">
        <f>[7]BS17A!$D13</f>
        <v>0</v>
      </c>
      <c r="D14" s="267">
        <f>[7]BS17A!$U13</f>
        <v>4170</v>
      </c>
      <c r="E14" s="268">
        <f>[7]BS17A!$V13</f>
        <v>0</v>
      </c>
      <c r="F14" s="262"/>
    </row>
    <row r="15" spans="1:7" ht="15" customHeight="1" x14ac:dyDescent="0.2">
      <c r="A15" s="435" t="s">
        <v>16</v>
      </c>
      <c r="B15" s="431" t="s">
        <v>17</v>
      </c>
      <c r="C15" s="380">
        <f>[7]BS17A!$D14</f>
        <v>0</v>
      </c>
      <c r="D15" s="270">
        <f>[7]BS17A!$U14</f>
        <v>5240</v>
      </c>
      <c r="E15" s="271">
        <f>[7]BS17A!$V14</f>
        <v>0</v>
      </c>
      <c r="F15" s="262"/>
    </row>
    <row r="16" spans="1:7" ht="15" customHeight="1" x14ac:dyDescent="0.2">
      <c r="A16" s="435" t="s">
        <v>18</v>
      </c>
      <c r="B16" s="431" t="s">
        <v>19</v>
      </c>
      <c r="C16" s="380">
        <f>[7]BS17A!$D15</f>
        <v>6415</v>
      </c>
      <c r="D16" s="270">
        <f>[7]BS17A!$U15</f>
        <v>11250</v>
      </c>
      <c r="E16" s="271">
        <f>[7]BS17A!$V15</f>
        <v>72168750</v>
      </c>
      <c r="F16" s="262"/>
    </row>
    <row r="17" spans="1:6" ht="15" customHeight="1" x14ac:dyDescent="0.2">
      <c r="A17" s="435" t="s">
        <v>20</v>
      </c>
      <c r="B17" s="431" t="s">
        <v>21</v>
      </c>
      <c r="C17" s="380">
        <f>[7]BS17A!$D16</f>
        <v>0</v>
      </c>
      <c r="D17" s="270">
        <f>[7]BS17A!$U16</f>
        <v>6720</v>
      </c>
      <c r="E17" s="271">
        <f>[7]BS17A!$V16</f>
        <v>0</v>
      </c>
      <c r="F17" s="262"/>
    </row>
    <row r="18" spans="1:6" ht="15" customHeight="1" x14ac:dyDescent="0.2">
      <c r="A18" s="435" t="s">
        <v>22</v>
      </c>
      <c r="B18" s="431" t="s">
        <v>23</v>
      </c>
      <c r="C18" s="380">
        <f>[7]BS17A!$D17</f>
        <v>0</v>
      </c>
      <c r="D18" s="270">
        <f>[7]BS17A!$U17</f>
        <v>7370</v>
      </c>
      <c r="E18" s="271">
        <f>[7]BS17A!$V17</f>
        <v>0</v>
      </c>
      <c r="F18" s="262"/>
    </row>
    <row r="19" spans="1:6" ht="33" customHeight="1" x14ac:dyDescent="0.2">
      <c r="A19" s="435" t="s">
        <v>24</v>
      </c>
      <c r="B19" s="485" t="s">
        <v>25</v>
      </c>
      <c r="C19" s="380">
        <f>[7]BS17A!$D20</f>
        <v>0</v>
      </c>
      <c r="D19" s="270">
        <f>[7]BS17A!$U20</f>
        <v>5690</v>
      </c>
      <c r="E19" s="271">
        <f>[7]BS17A!$V20</f>
        <v>0</v>
      </c>
      <c r="F19" s="262"/>
    </row>
    <row r="20" spans="1:6" ht="42.75" customHeight="1" x14ac:dyDescent="0.2">
      <c r="A20" s="435" t="s">
        <v>26</v>
      </c>
      <c r="B20" s="485" t="s">
        <v>27</v>
      </c>
      <c r="C20" s="380">
        <f>[7]BS17A!$D21</f>
        <v>0</v>
      </c>
      <c r="D20" s="270">
        <f>[7]BS17A!$U21</f>
        <v>6820</v>
      </c>
      <c r="E20" s="271">
        <f>[7]BS17A!$V21</f>
        <v>0</v>
      </c>
      <c r="F20" s="262"/>
    </row>
    <row r="21" spans="1:6" ht="42.75" customHeight="1" x14ac:dyDescent="0.2">
      <c r="A21" s="435" t="s">
        <v>28</v>
      </c>
      <c r="B21" s="485" t="s">
        <v>29</v>
      </c>
      <c r="C21" s="380">
        <f>[7]BS17A!$D22</f>
        <v>0</v>
      </c>
      <c r="D21" s="270">
        <f>[7]BS17A!$U22</f>
        <v>8460</v>
      </c>
      <c r="E21" s="271">
        <f>[7]BS17A!$V22</f>
        <v>0</v>
      </c>
      <c r="F21" s="262"/>
    </row>
    <row r="22" spans="1:6" ht="32.25" customHeight="1" x14ac:dyDescent="0.2">
      <c r="A22" s="435" t="s">
        <v>30</v>
      </c>
      <c r="B22" s="485" t="s">
        <v>31</v>
      </c>
      <c r="C22" s="380">
        <f>[7]BS17A!$D23</f>
        <v>2415</v>
      </c>
      <c r="D22" s="270">
        <f>[7]BS17A!$U23</f>
        <v>5690</v>
      </c>
      <c r="E22" s="271">
        <f>[7]BS17A!$V23</f>
        <v>13741350</v>
      </c>
      <c r="F22" s="262"/>
    </row>
    <row r="23" spans="1:6" ht="40.5" customHeight="1" x14ac:dyDescent="0.2">
      <c r="A23" s="435" t="s">
        <v>32</v>
      </c>
      <c r="B23" s="485" t="s">
        <v>33</v>
      </c>
      <c r="C23" s="380">
        <f>[7]BS17A!$D24</f>
        <v>1334</v>
      </c>
      <c r="D23" s="270">
        <f>[7]BS17A!$U24</f>
        <v>6820</v>
      </c>
      <c r="E23" s="271">
        <f>[7]BS17A!$V24</f>
        <v>9097880</v>
      </c>
      <c r="F23" s="262"/>
    </row>
    <row r="24" spans="1:6" ht="27" customHeight="1" x14ac:dyDescent="0.2">
      <c r="A24" s="435" t="s">
        <v>34</v>
      </c>
      <c r="B24" s="485" t="s">
        <v>35</v>
      </c>
      <c r="C24" s="380">
        <f>[7]BS17A!$D25</f>
        <v>2431</v>
      </c>
      <c r="D24" s="270">
        <f>[7]BS17A!$U25</f>
        <v>8460</v>
      </c>
      <c r="E24" s="271">
        <f>[7]BS17A!$V25</f>
        <v>20566260</v>
      </c>
      <c r="F24" s="262"/>
    </row>
    <row r="25" spans="1:6" ht="15" customHeight="1" x14ac:dyDescent="0.2">
      <c r="A25" s="435" t="s">
        <v>36</v>
      </c>
      <c r="B25" s="430" t="s">
        <v>37</v>
      </c>
      <c r="C25" s="380">
        <f>+[7]BS17A!$D795</f>
        <v>204</v>
      </c>
      <c r="D25" s="270">
        <f>+[7]BS17A!$U795</f>
        <v>6900</v>
      </c>
      <c r="E25" s="271">
        <f>+[7]BS17A!$V795</f>
        <v>1407600</v>
      </c>
      <c r="F25" s="262"/>
    </row>
    <row r="26" spans="1:6" ht="15" customHeight="1" x14ac:dyDescent="0.2">
      <c r="A26" s="436" t="s">
        <v>38</v>
      </c>
      <c r="B26" s="450" t="s">
        <v>39</v>
      </c>
      <c r="C26" s="395">
        <f>+[7]BS17A!$D800</f>
        <v>0</v>
      </c>
      <c r="D26" s="272">
        <f>+[7]BS17A!$U800</f>
        <v>28580</v>
      </c>
      <c r="E26" s="273">
        <f>+[7]BS17A!$V800</f>
        <v>0</v>
      </c>
      <c r="F26" s="262"/>
    </row>
    <row r="27" spans="1:6" ht="18" customHeight="1" x14ac:dyDescent="0.2">
      <c r="A27" s="586" t="s">
        <v>40</v>
      </c>
      <c r="B27" s="587"/>
      <c r="C27" s="587"/>
      <c r="D27" s="587"/>
      <c r="E27" s="588"/>
      <c r="F27" s="262"/>
    </row>
    <row r="28" spans="1:6" ht="15" customHeight="1" x14ac:dyDescent="0.2">
      <c r="A28" s="434" t="s">
        <v>41</v>
      </c>
      <c r="B28" s="443" t="s">
        <v>42</v>
      </c>
      <c r="C28" s="383">
        <f>[7]BS17A!$D27</f>
        <v>1884</v>
      </c>
      <c r="D28" s="267">
        <f>[7]BS17A!$U27</f>
        <v>1110</v>
      </c>
      <c r="E28" s="268">
        <f>[7]BS17A!$V27</f>
        <v>2091240</v>
      </c>
      <c r="F28" s="262"/>
    </row>
    <row r="29" spans="1:6" ht="15" customHeight="1" x14ac:dyDescent="0.2">
      <c r="A29" s="435" t="s">
        <v>43</v>
      </c>
      <c r="B29" s="449" t="s">
        <v>44</v>
      </c>
      <c r="C29" s="380">
        <f>[7]BS17A!$D28</f>
        <v>0</v>
      </c>
      <c r="D29" s="270">
        <f>[7]BS17A!$U28</f>
        <v>1900</v>
      </c>
      <c r="E29" s="271">
        <f>[7]BS17A!$V28</f>
        <v>0</v>
      </c>
      <c r="F29" s="262"/>
    </row>
    <row r="30" spans="1:6" ht="15" customHeight="1" x14ac:dyDescent="0.2">
      <c r="A30" s="435" t="s">
        <v>45</v>
      </c>
      <c r="B30" s="431" t="s">
        <v>46</v>
      </c>
      <c r="C30" s="380">
        <f>[7]BS17A!$D29</f>
        <v>0</v>
      </c>
      <c r="D30" s="270">
        <f>[7]BS17A!$U29</f>
        <v>610</v>
      </c>
      <c r="E30" s="271">
        <f>[7]BS17A!$V29</f>
        <v>0</v>
      </c>
      <c r="F30" s="262"/>
    </row>
    <row r="31" spans="1:6" ht="15" customHeight="1" x14ac:dyDescent="0.2">
      <c r="A31" s="435" t="s">
        <v>47</v>
      </c>
      <c r="B31" s="431" t="s">
        <v>48</v>
      </c>
      <c r="C31" s="380">
        <f>[7]BS17A!$D30</f>
        <v>128</v>
      </c>
      <c r="D31" s="270">
        <f>[7]BS17A!$U30</f>
        <v>1500</v>
      </c>
      <c r="E31" s="271">
        <f>[7]BS17A!$V30</f>
        <v>192000</v>
      </c>
      <c r="F31" s="262"/>
    </row>
    <row r="32" spans="1:6" ht="15" customHeight="1" x14ac:dyDescent="0.2">
      <c r="A32" s="435" t="s">
        <v>49</v>
      </c>
      <c r="B32" s="431" t="s">
        <v>50</v>
      </c>
      <c r="C32" s="380">
        <f>[7]BS17A!$D31</f>
        <v>750</v>
      </c>
      <c r="D32" s="270">
        <f>[7]BS17A!$U31</f>
        <v>1210</v>
      </c>
      <c r="E32" s="271">
        <f>[7]BS17A!$V31</f>
        <v>907500</v>
      </c>
      <c r="F32" s="262"/>
    </row>
    <row r="33" spans="1:6" ht="15" customHeight="1" x14ac:dyDescent="0.2">
      <c r="A33" s="435" t="s">
        <v>51</v>
      </c>
      <c r="B33" s="449" t="s">
        <v>52</v>
      </c>
      <c r="C33" s="380">
        <f>[7]BS17A!$D32</f>
        <v>0</v>
      </c>
      <c r="D33" s="270">
        <f>[7]BS17A!$U32</f>
        <v>1110</v>
      </c>
      <c r="E33" s="271">
        <f>[7]BS17A!$V32</f>
        <v>0</v>
      </c>
      <c r="F33" s="262"/>
    </row>
    <row r="34" spans="1:6" ht="15" customHeight="1" x14ac:dyDescent="0.2">
      <c r="A34" s="435" t="s">
        <v>53</v>
      </c>
      <c r="B34" s="431" t="s">
        <v>54</v>
      </c>
      <c r="C34" s="380">
        <f>+[7]BS17A!$D796</f>
        <v>262</v>
      </c>
      <c r="D34" s="270">
        <f>+[7]BS17A!$U796</f>
        <v>2700</v>
      </c>
      <c r="E34" s="271">
        <f>+[7]BS17A!$V796</f>
        <v>707400</v>
      </c>
      <c r="F34" s="262"/>
    </row>
    <row r="35" spans="1:6" ht="15" customHeight="1" x14ac:dyDescent="0.2">
      <c r="A35" s="435" t="s">
        <v>55</v>
      </c>
      <c r="B35" s="449" t="s">
        <v>56</v>
      </c>
      <c r="C35" s="380">
        <f>+[7]BS17A!$D797</f>
        <v>293</v>
      </c>
      <c r="D35" s="270">
        <f>+[7]BS17A!$U797</f>
        <v>2700</v>
      </c>
      <c r="E35" s="271">
        <f>+[7]BS17A!$V797</f>
        <v>791100</v>
      </c>
      <c r="F35" s="262"/>
    </row>
    <row r="36" spans="1:6" ht="15" customHeight="1" x14ac:dyDescent="0.2">
      <c r="A36" s="435" t="s">
        <v>57</v>
      </c>
      <c r="B36" s="449" t="s">
        <v>58</v>
      </c>
      <c r="C36" s="380">
        <f>+[7]BS17A!$D798</f>
        <v>4</v>
      </c>
      <c r="D36" s="270">
        <f>+[7]BS17A!$U798</f>
        <v>10760</v>
      </c>
      <c r="E36" s="271">
        <f>+[7]BS17A!$V798</f>
        <v>43040</v>
      </c>
      <c r="F36" s="262"/>
    </row>
    <row r="37" spans="1:6" ht="15" customHeight="1" x14ac:dyDescent="0.2">
      <c r="A37" s="436" t="s">
        <v>59</v>
      </c>
      <c r="B37" s="484" t="s">
        <v>60</v>
      </c>
      <c r="C37" s="395">
        <f>+[7]BS17A!$D799</f>
        <v>49</v>
      </c>
      <c r="D37" s="272">
        <f>+[7]BS17A!$U799</f>
        <v>12600</v>
      </c>
      <c r="E37" s="273">
        <f>+[7]BS17A!$V799</f>
        <v>617400</v>
      </c>
      <c r="F37" s="262"/>
    </row>
    <row r="38" spans="1:6" ht="18" customHeight="1" x14ac:dyDescent="0.2">
      <c r="A38" s="591" t="s">
        <v>61</v>
      </c>
      <c r="B38" s="592"/>
      <c r="C38" s="592"/>
      <c r="D38" s="592"/>
      <c r="E38" s="593"/>
      <c r="F38" s="262"/>
    </row>
    <row r="39" spans="1:6" ht="15" customHeight="1" x14ac:dyDescent="0.2">
      <c r="A39" s="434" t="s">
        <v>62</v>
      </c>
      <c r="B39" s="429" t="s">
        <v>63</v>
      </c>
      <c r="C39" s="383">
        <f>+[7]BS17A!$D801</f>
        <v>0</v>
      </c>
      <c r="D39" s="275">
        <f>+[7]BS17A!$U801</f>
        <v>3550</v>
      </c>
      <c r="E39" s="276">
        <f>+[7]BS17A!$V801</f>
        <v>0</v>
      </c>
      <c r="F39" s="262"/>
    </row>
    <row r="40" spans="1:6" ht="15" customHeight="1" x14ac:dyDescent="0.2">
      <c r="A40" s="436" t="s">
        <v>64</v>
      </c>
      <c r="B40" s="444" t="s">
        <v>65</v>
      </c>
      <c r="C40" s="395">
        <f>+[7]BS17A!$D802</f>
        <v>0</v>
      </c>
      <c r="D40" s="277">
        <f>+[7]BS17A!$U802</f>
        <v>9180</v>
      </c>
      <c r="E40" s="278">
        <f>+[7]BS17A!$V802</f>
        <v>0</v>
      </c>
      <c r="F40" s="262"/>
    </row>
    <row r="41" spans="1:6" ht="18" customHeight="1" x14ac:dyDescent="0.2">
      <c r="A41" s="591" t="s">
        <v>66</v>
      </c>
      <c r="B41" s="592"/>
      <c r="C41" s="592"/>
      <c r="D41" s="592"/>
      <c r="E41" s="593"/>
      <c r="F41" s="262"/>
    </row>
    <row r="42" spans="1:6" ht="15" customHeight="1" x14ac:dyDescent="0.2">
      <c r="A42" s="434" t="s">
        <v>67</v>
      </c>
      <c r="B42" s="451" t="s">
        <v>68</v>
      </c>
      <c r="C42" s="383">
        <f>+[7]BS17A!$D34</f>
        <v>34</v>
      </c>
      <c r="D42" s="275">
        <f>+[7]BS17A!$U34</f>
        <v>3640</v>
      </c>
      <c r="E42" s="276">
        <f>+[7]BS17A!$V34</f>
        <v>123760</v>
      </c>
      <c r="F42" s="262"/>
    </row>
    <row r="43" spans="1:6" ht="15" customHeight="1" x14ac:dyDescent="0.2">
      <c r="A43" s="435" t="s">
        <v>69</v>
      </c>
      <c r="B43" s="431" t="s">
        <v>70</v>
      </c>
      <c r="C43" s="380">
        <f>+[7]BS17A!$D35</f>
        <v>689</v>
      </c>
      <c r="D43" s="270">
        <f>+[7]BS17A!$U35</f>
        <v>2000</v>
      </c>
      <c r="E43" s="271">
        <f>+[7]BS17A!$V35</f>
        <v>1378000</v>
      </c>
      <c r="F43" s="262"/>
    </row>
    <row r="44" spans="1:6" ht="15" customHeight="1" x14ac:dyDescent="0.2">
      <c r="A44" s="435" t="s">
        <v>71</v>
      </c>
      <c r="B44" s="431" t="s">
        <v>72</v>
      </c>
      <c r="C44" s="380">
        <f>+[7]BS17A!$D36</f>
        <v>0</v>
      </c>
      <c r="D44" s="270">
        <f>+[7]BS17A!$U36</f>
        <v>2000</v>
      </c>
      <c r="E44" s="271">
        <f>+[7]BS17A!$V36</f>
        <v>0</v>
      </c>
      <c r="F44" s="262"/>
    </row>
    <row r="45" spans="1:6" ht="15" customHeight="1" x14ac:dyDescent="0.2">
      <c r="A45" s="436" t="s">
        <v>73</v>
      </c>
      <c r="B45" s="432" t="s">
        <v>74</v>
      </c>
      <c r="C45" s="395">
        <f>+[7]BS17A!$D37</f>
        <v>679</v>
      </c>
      <c r="D45" s="277">
        <f>+[7]BS17A!$U37</f>
        <v>610</v>
      </c>
      <c r="E45" s="278">
        <f>+[7]BS17A!$V37</f>
        <v>414190</v>
      </c>
      <c r="F45" s="262"/>
    </row>
    <row r="46" spans="1:6" ht="18" customHeight="1" x14ac:dyDescent="0.2">
      <c r="A46" s="591" t="s">
        <v>75</v>
      </c>
      <c r="B46" s="592"/>
      <c r="C46" s="592"/>
      <c r="D46" s="592"/>
      <c r="E46" s="593"/>
      <c r="F46" s="262"/>
    </row>
    <row r="47" spans="1:6" ht="15" customHeight="1" x14ac:dyDescent="0.2">
      <c r="A47" s="434" t="s">
        <v>76</v>
      </c>
      <c r="B47" s="451" t="s">
        <v>77</v>
      </c>
      <c r="C47" s="383">
        <f>+[7]BS17A!$D39</f>
        <v>0</v>
      </c>
      <c r="D47" s="275">
        <f>+[7]BS17A!$U39</f>
        <v>1730</v>
      </c>
      <c r="E47" s="276">
        <f>+[7]BS17A!$V39</f>
        <v>0</v>
      </c>
      <c r="F47" s="262"/>
    </row>
    <row r="48" spans="1:6" ht="15" customHeight="1" x14ac:dyDescent="0.2">
      <c r="A48" s="435" t="s">
        <v>78</v>
      </c>
      <c r="B48" s="431" t="s">
        <v>79</v>
      </c>
      <c r="C48" s="380">
        <f>+[7]BS17A!$D40</f>
        <v>26</v>
      </c>
      <c r="D48" s="270">
        <f>+[7]BS17A!$U40</f>
        <v>1730</v>
      </c>
      <c r="E48" s="271">
        <f>+[7]BS17A!$V40</f>
        <v>44980</v>
      </c>
      <c r="F48" s="262"/>
    </row>
    <row r="49" spans="1:7" ht="15" customHeight="1" x14ac:dyDescent="0.2">
      <c r="A49" s="436" t="s">
        <v>80</v>
      </c>
      <c r="B49" s="432" t="s">
        <v>81</v>
      </c>
      <c r="C49" s="395">
        <f>+[7]BS17A!$D41</f>
        <v>0</v>
      </c>
      <c r="D49" s="277">
        <f>+[7]BS17A!$U41</f>
        <v>1000</v>
      </c>
      <c r="E49" s="278">
        <f>+[7]BS17A!$V41</f>
        <v>0</v>
      </c>
      <c r="F49" s="262"/>
    </row>
    <row r="50" spans="1:7" ht="18" customHeight="1" x14ac:dyDescent="0.2">
      <c r="A50" s="279"/>
      <c r="B50" s="411" t="s">
        <v>82</v>
      </c>
      <c r="C50" s="279">
        <f>SUM(C14:C49)</f>
        <v>17597</v>
      </c>
      <c r="D50" s="280"/>
      <c r="E50" s="281">
        <f>SUM(E14:E49)</f>
        <v>124292450</v>
      </c>
      <c r="F50" s="262"/>
    </row>
    <row r="51" spans="1:7" ht="18" customHeight="1" x14ac:dyDescent="0.2">
      <c r="A51" s="282"/>
      <c r="B51" s="282"/>
      <c r="C51" s="282"/>
      <c r="D51" s="283"/>
      <c r="E51" s="284"/>
      <c r="F51" s="262"/>
    </row>
    <row r="52" spans="1:7" ht="12.75" x14ac:dyDescent="0.2">
      <c r="A52" s="262"/>
      <c r="B52" s="262"/>
      <c r="C52" s="262"/>
      <c r="D52" s="262"/>
      <c r="E52" s="262"/>
      <c r="F52" s="285"/>
      <c r="G52" s="286"/>
    </row>
    <row r="53" spans="1:7" ht="12.75" x14ac:dyDescent="0.2">
      <c r="A53" s="591" t="s">
        <v>83</v>
      </c>
      <c r="B53" s="592"/>
      <c r="C53" s="592"/>
      <c r="D53" s="592"/>
      <c r="E53" s="593"/>
      <c r="F53" s="285"/>
      <c r="G53" s="286"/>
    </row>
    <row r="54" spans="1:7" ht="42.75" customHeight="1" x14ac:dyDescent="0.2">
      <c r="A54" s="264" t="s">
        <v>8</v>
      </c>
      <c r="B54" s="264" t="s">
        <v>84</v>
      </c>
      <c r="C54" s="495" t="s">
        <v>10</v>
      </c>
      <c r="D54" s="311"/>
      <c r="E54" s="497" t="s">
        <v>12</v>
      </c>
      <c r="F54" s="262"/>
    </row>
    <row r="55" spans="1:7" ht="18" customHeight="1" x14ac:dyDescent="0.2">
      <c r="A55" s="499" t="s">
        <v>85</v>
      </c>
      <c r="B55" s="474" t="s">
        <v>86</v>
      </c>
      <c r="C55" s="316">
        <f>+[7]BS17!$D12</f>
        <v>63892</v>
      </c>
      <c r="D55" s="288"/>
      <c r="E55" s="289">
        <f>+E56+E57+E58+E59+E60+E61+E65+E66+E67</f>
        <v>91878930</v>
      </c>
      <c r="F55" s="262"/>
    </row>
    <row r="56" spans="1:7" ht="15" customHeight="1" x14ac:dyDescent="0.2">
      <c r="A56" s="472" t="s">
        <v>87</v>
      </c>
      <c r="B56" s="443" t="s">
        <v>88</v>
      </c>
      <c r="C56" s="426">
        <f>+[7]BS17!$D13</f>
        <v>24855</v>
      </c>
      <c r="D56" s="290"/>
      <c r="E56" s="291">
        <f>+[7]BS17A!V83</f>
        <v>25595690</v>
      </c>
      <c r="F56" s="262"/>
    </row>
    <row r="57" spans="1:7" ht="15" customHeight="1" x14ac:dyDescent="0.2">
      <c r="A57" s="435" t="s">
        <v>89</v>
      </c>
      <c r="B57" s="430" t="s">
        <v>90</v>
      </c>
      <c r="C57" s="380">
        <f>+[7]BS17!$D14</f>
        <v>26260</v>
      </c>
      <c r="D57" s="293"/>
      <c r="E57" s="294">
        <f>+[7]BS17A!V174</f>
        <v>31410750</v>
      </c>
      <c r="F57" s="262"/>
    </row>
    <row r="58" spans="1:7" ht="15" customHeight="1" x14ac:dyDescent="0.2">
      <c r="A58" s="435" t="s">
        <v>91</v>
      </c>
      <c r="B58" s="430" t="s">
        <v>92</v>
      </c>
      <c r="C58" s="380">
        <f>+[7]BS17!$D15</f>
        <v>1281</v>
      </c>
      <c r="D58" s="293"/>
      <c r="E58" s="294">
        <f>+[7]BS17A!V243</f>
        <v>4472670</v>
      </c>
      <c r="F58" s="262"/>
    </row>
    <row r="59" spans="1:7" ht="15" customHeight="1" x14ac:dyDescent="0.2">
      <c r="A59" s="435" t="s">
        <v>93</v>
      </c>
      <c r="B59" s="430" t="s">
        <v>94</v>
      </c>
      <c r="C59" s="380">
        <f>+[7]BS17!$D16</f>
        <v>0</v>
      </c>
      <c r="D59" s="293"/>
      <c r="E59" s="294">
        <f>+[7]BS17A!V289</f>
        <v>0</v>
      </c>
      <c r="F59" s="262"/>
    </row>
    <row r="60" spans="1:7" ht="15" customHeight="1" x14ac:dyDescent="0.2">
      <c r="A60" s="467" t="s">
        <v>95</v>
      </c>
      <c r="B60" s="450" t="s">
        <v>96</v>
      </c>
      <c r="C60" s="410">
        <f>+[7]BS17!$D17</f>
        <v>1668</v>
      </c>
      <c r="D60" s="295"/>
      <c r="E60" s="296">
        <f>+[7]BS17A!V295</f>
        <v>7854500</v>
      </c>
      <c r="F60" s="262"/>
    </row>
    <row r="61" spans="1:7" ht="15" customHeight="1" x14ac:dyDescent="0.2">
      <c r="A61" s="434" t="s">
        <v>97</v>
      </c>
      <c r="B61" s="475" t="s">
        <v>98</v>
      </c>
      <c r="C61" s="412">
        <f>+[7]BS17!$D18</f>
        <v>6663</v>
      </c>
      <c r="D61" s="297"/>
      <c r="E61" s="298">
        <f>SUM(E62:E64)</f>
        <v>18474340</v>
      </c>
      <c r="F61" s="262"/>
    </row>
    <row r="62" spans="1:7" ht="15" customHeight="1" x14ac:dyDescent="0.2">
      <c r="A62" s="478"/>
      <c r="B62" s="451" t="s">
        <v>99</v>
      </c>
      <c r="C62" s="383">
        <f>+[7]BS17!$D19</f>
        <v>4562</v>
      </c>
      <c r="D62" s="299"/>
      <c r="E62" s="300">
        <f>+[7]BS17A!V362</f>
        <v>10214200</v>
      </c>
      <c r="F62" s="262"/>
    </row>
    <row r="63" spans="1:7" ht="15" customHeight="1" x14ac:dyDescent="0.2">
      <c r="A63" s="478"/>
      <c r="B63" s="430" t="s">
        <v>100</v>
      </c>
      <c r="C63" s="380">
        <f>+[7]BS17!$D20</f>
        <v>70</v>
      </c>
      <c r="D63" s="293"/>
      <c r="E63" s="294">
        <f>+[7]BS17A!V405</f>
        <v>190980</v>
      </c>
      <c r="F63" s="262"/>
    </row>
    <row r="64" spans="1:7" ht="15" customHeight="1" x14ac:dyDescent="0.2">
      <c r="A64" s="479"/>
      <c r="B64" s="432" t="s">
        <v>101</v>
      </c>
      <c r="C64" s="395">
        <f>+[7]BS17!$D21</f>
        <v>2031</v>
      </c>
      <c r="D64" s="301"/>
      <c r="E64" s="302">
        <f>+[7]BS17A!V428</f>
        <v>8069160</v>
      </c>
      <c r="F64" s="262"/>
    </row>
    <row r="65" spans="1:7" ht="15" customHeight="1" x14ac:dyDescent="0.2">
      <c r="A65" s="472" t="s">
        <v>102</v>
      </c>
      <c r="B65" s="471" t="s">
        <v>103</v>
      </c>
      <c r="C65" s="426">
        <f>+[7]BS17!$D22</f>
        <v>0</v>
      </c>
      <c r="D65" s="290"/>
      <c r="E65" s="291">
        <f>+[7]BS17A!V446</f>
        <v>0</v>
      </c>
      <c r="F65" s="262"/>
    </row>
    <row r="66" spans="1:7" ht="15" customHeight="1" x14ac:dyDescent="0.2">
      <c r="A66" s="435" t="s">
        <v>104</v>
      </c>
      <c r="B66" s="430" t="s">
        <v>105</v>
      </c>
      <c r="C66" s="380">
        <f>+[7]BS17!$D23</f>
        <v>73</v>
      </c>
      <c r="D66" s="293"/>
      <c r="E66" s="294">
        <f>+[7]BS17A!V456</f>
        <v>163570</v>
      </c>
      <c r="F66" s="262"/>
    </row>
    <row r="67" spans="1:7" ht="15" customHeight="1" x14ac:dyDescent="0.2">
      <c r="A67" s="467" t="s">
        <v>106</v>
      </c>
      <c r="B67" s="450" t="s">
        <v>107</v>
      </c>
      <c r="C67" s="410">
        <f>+[7]BS17!$D24</f>
        <v>3092</v>
      </c>
      <c r="D67" s="295"/>
      <c r="E67" s="296">
        <f>+[7]BS17A!V500</f>
        <v>3907410</v>
      </c>
      <c r="F67" s="262"/>
    </row>
    <row r="68" spans="1:7" ht="15" customHeight="1" x14ac:dyDescent="0.2">
      <c r="A68" s="480" t="s">
        <v>108</v>
      </c>
      <c r="B68" s="470" t="s">
        <v>109</v>
      </c>
      <c r="C68" s="427">
        <f>+[7]BS17!$D25</f>
        <v>4476</v>
      </c>
      <c r="D68" s="303"/>
      <c r="E68" s="304">
        <f>SUM(E69:E74)</f>
        <v>69129530</v>
      </c>
      <c r="F68" s="262"/>
    </row>
    <row r="69" spans="1:7" ht="15" customHeight="1" x14ac:dyDescent="0.2">
      <c r="A69" s="435" t="s">
        <v>110</v>
      </c>
      <c r="B69" s="430" t="s">
        <v>111</v>
      </c>
      <c r="C69" s="380">
        <f>+[7]BS17!$D26</f>
        <v>2788</v>
      </c>
      <c r="D69" s="293"/>
      <c r="E69" s="294">
        <f>+[7]BS17A!V535</f>
        <v>22423200</v>
      </c>
      <c r="F69" s="262"/>
    </row>
    <row r="70" spans="1:7" ht="15" customHeight="1" x14ac:dyDescent="0.2">
      <c r="A70" s="435" t="s">
        <v>112</v>
      </c>
      <c r="B70" s="430" t="s">
        <v>113</v>
      </c>
      <c r="C70" s="380">
        <f>+[7]BS17!$D27</f>
        <v>10</v>
      </c>
      <c r="D70" s="293"/>
      <c r="E70" s="294">
        <f>+[7]BS17A!V590</f>
        <v>192240</v>
      </c>
      <c r="F70" s="262"/>
    </row>
    <row r="71" spans="1:7" ht="15" customHeight="1" x14ac:dyDescent="0.2">
      <c r="A71" s="435" t="s">
        <v>114</v>
      </c>
      <c r="B71" s="430" t="s">
        <v>115</v>
      </c>
      <c r="C71" s="380">
        <f>+[7]BS17!$D28</f>
        <v>690</v>
      </c>
      <c r="D71" s="293"/>
      <c r="E71" s="294">
        <f>+[7]BS17A!V615</f>
        <v>34752520</v>
      </c>
      <c r="F71" s="262"/>
    </row>
    <row r="72" spans="1:7" ht="15" customHeight="1" x14ac:dyDescent="0.2">
      <c r="A72" s="435" t="s">
        <v>116</v>
      </c>
      <c r="B72" s="430" t="s">
        <v>117</v>
      </c>
      <c r="C72" s="380">
        <f>+[7]BS17!$D30+[7]BS17!$D32</f>
        <v>770</v>
      </c>
      <c r="D72" s="293"/>
      <c r="E72" s="294">
        <f>+[7]BS17A!V633-[7]BS17A!V634</f>
        <v>10651950</v>
      </c>
      <c r="F72" s="262"/>
    </row>
    <row r="73" spans="1:7" ht="15" customHeight="1" x14ac:dyDescent="0.2">
      <c r="A73" s="481"/>
      <c r="B73" s="430" t="s">
        <v>118</v>
      </c>
      <c r="C73" s="380">
        <f>+[7]BS17!$D31</f>
        <v>218</v>
      </c>
      <c r="D73" s="293"/>
      <c r="E73" s="294">
        <f>+[7]BS17A!V634</f>
        <v>1109620</v>
      </c>
      <c r="F73" s="262"/>
    </row>
    <row r="74" spans="1:7" ht="15" customHeight="1" x14ac:dyDescent="0.2">
      <c r="A74" s="482" t="s">
        <v>119</v>
      </c>
      <c r="B74" s="476" t="s">
        <v>120</v>
      </c>
      <c r="C74" s="417">
        <f>+[7]BS17!$D33</f>
        <v>0</v>
      </c>
      <c r="D74" s="389"/>
      <c r="E74" s="390">
        <f>+[7]BS17A!V654</f>
        <v>0</v>
      </c>
      <c r="F74" s="262"/>
    </row>
    <row r="75" spans="1:7" ht="15" customHeight="1" x14ac:dyDescent="0.2">
      <c r="A75" s="483" t="s">
        <v>121</v>
      </c>
      <c r="B75" s="477" t="s">
        <v>122</v>
      </c>
      <c r="C75" s="428">
        <f>+[7]BS17!$D34</f>
        <v>0</v>
      </c>
      <c r="D75" s="305"/>
      <c r="E75" s="306">
        <f>+[7]BS17A!V783</f>
        <v>0</v>
      </c>
      <c r="F75" s="262"/>
    </row>
    <row r="76" spans="1:7" ht="15" customHeight="1" x14ac:dyDescent="0.2">
      <c r="A76" s="437"/>
      <c r="B76" s="498" t="s">
        <v>123</v>
      </c>
      <c r="C76" s="316">
        <f>+C55+C68+C75</f>
        <v>68368</v>
      </c>
      <c r="D76" s="288"/>
      <c r="E76" s="308">
        <f>+E55+E68+E75</f>
        <v>161008460</v>
      </c>
      <c r="F76" s="262"/>
    </row>
    <row r="77" spans="1:7" ht="12.75" x14ac:dyDescent="0.2">
      <c r="A77" s="262"/>
      <c r="B77" s="262"/>
      <c r="C77" s="262"/>
      <c r="D77" s="262"/>
      <c r="E77" s="262"/>
      <c r="F77" s="285"/>
      <c r="G77" s="286"/>
    </row>
    <row r="78" spans="1:7" ht="12.75" x14ac:dyDescent="0.2">
      <c r="A78" s="262"/>
      <c r="B78" s="262"/>
      <c r="C78" s="262"/>
      <c r="D78" s="262"/>
      <c r="E78" s="262"/>
      <c r="F78" s="285"/>
      <c r="G78" s="286"/>
    </row>
    <row r="79" spans="1:7" ht="12.75" x14ac:dyDescent="0.2">
      <c r="A79" s="583" t="s">
        <v>124</v>
      </c>
      <c r="B79" s="584"/>
      <c r="C79" s="584"/>
      <c r="D79" s="584"/>
      <c r="E79" s="585"/>
      <c r="F79" s="285"/>
      <c r="G79" s="286"/>
    </row>
    <row r="80" spans="1:7" ht="45" customHeight="1" x14ac:dyDescent="0.2">
      <c r="A80" s="264" t="s">
        <v>8</v>
      </c>
      <c r="B80" s="496" t="s">
        <v>9</v>
      </c>
      <c r="C80" s="309" t="s">
        <v>10</v>
      </c>
      <c r="D80" s="311"/>
      <c r="E80" s="312" t="s">
        <v>12</v>
      </c>
      <c r="F80" s="285"/>
      <c r="G80" s="286"/>
    </row>
    <row r="81" spans="1:6" ht="15" customHeight="1" x14ac:dyDescent="0.2">
      <c r="A81" s="473" t="s">
        <v>125</v>
      </c>
      <c r="B81" s="443" t="s">
        <v>126</v>
      </c>
      <c r="C81" s="383">
        <f>+[7]BS17!D49</f>
        <v>0</v>
      </c>
      <c r="D81" s="290"/>
      <c r="E81" s="313">
        <f>+SUM([7]BS17A!V673+[7]BS17A!V719)</f>
        <v>0</v>
      </c>
      <c r="F81" s="262"/>
    </row>
    <row r="82" spans="1:6" ht="15" customHeight="1" x14ac:dyDescent="0.2">
      <c r="A82" s="457">
        <v>2001</v>
      </c>
      <c r="B82" s="430" t="s">
        <v>127</v>
      </c>
      <c r="C82" s="380">
        <f>+[7]BS17!E130</f>
        <v>1072</v>
      </c>
      <c r="D82" s="293"/>
      <c r="E82" s="314">
        <f>+[7]BS17A!V1574</f>
        <v>9348390</v>
      </c>
      <c r="F82" s="262"/>
    </row>
    <row r="83" spans="1:6" ht="15" customHeight="1" x14ac:dyDescent="0.2">
      <c r="A83" s="467" t="s">
        <v>128</v>
      </c>
      <c r="B83" s="450" t="s">
        <v>129</v>
      </c>
      <c r="C83" s="410">
        <f>+[7]BS17A!D1849</f>
        <v>24</v>
      </c>
      <c r="D83" s="295"/>
      <c r="E83" s="315">
        <f>+[7]BS17A!V1849</f>
        <v>1685670</v>
      </c>
      <c r="F83" s="262"/>
    </row>
    <row r="84" spans="1:6" ht="17.25" customHeight="1" x14ac:dyDescent="0.2">
      <c r="A84" s="437"/>
      <c r="B84" s="498" t="s">
        <v>130</v>
      </c>
      <c r="C84" s="316">
        <f>+SUM(C81:C83)</f>
        <v>1096</v>
      </c>
      <c r="D84" s="288"/>
      <c r="E84" s="317">
        <f>SUM(E81:E83)</f>
        <v>11034060</v>
      </c>
      <c r="F84" s="262"/>
    </row>
    <row r="85" spans="1:6" ht="12.75" x14ac:dyDescent="0.2">
      <c r="A85" s="262"/>
      <c r="B85" s="262"/>
      <c r="C85" s="262"/>
      <c r="D85" s="262"/>
      <c r="E85" s="262"/>
      <c r="F85" s="262"/>
    </row>
    <row r="86" spans="1:6" ht="12.75" x14ac:dyDescent="0.2">
      <c r="A86" s="262"/>
      <c r="B86" s="262"/>
      <c r="C86" s="262"/>
      <c r="D86" s="262"/>
      <c r="E86" s="262"/>
      <c r="F86" s="259"/>
    </row>
    <row r="87" spans="1:6" ht="12.75" x14ac:dyDescent="0.15">
      <c r="A87" s="597" t="s">
        <v>131</v>
      </c>
      <c r="B87" s="598"/>
      <c r="C87" s="598"/>
      <c r="D87" s="598"/>
      <c r="E87" s="598"/>
      <c r="F87" s="599"/>
    </row>
    <row r="88" spans="1:6" ht="33.75" customHeight="1" x14ac:dyDescent="0.15">
      <c r="A88" s="611" t="s">
        <v>8</v>
      </c>
      <c r="B88" s="611" t="s">
        <v>9</v>
      </c>
      <c r="C88" s="586" t="s">
        <v>10</v>
      </c>
      <c r="D88" s="587"/>
      <c r="E88" s="587"/>
      <c r="F88" s="588"/>
    </row>
    <row r="89" spans="1:6" ht="45" customHeight="1" x14ac:dyDescent="0.15">
      <c r="A89" s="612"/>
      <c r="B89" s="612"/>
      <c r="C89" s="496" t="s">
        <v>132</v>
      </c>
      <c r="D89" s="394" t="s">
        <v>133</v>
      </c>
      <c r="E89" s="310" t="s">
        <v>134</v>
      </c>
      <c r="F89" s="497" t="s">
        <v>12</v>
      </c>
    </row>
    <row r="90" spans="1:6" ht="15" customHeight="1" x14ac:dyDescent="0.2">
      <c r="A90" s="434" t="s">
        <v>135</v>
      </c>
      <c r="B90" s="429" t="s">
        <v>136</v>
      </c>
      <c r="C90" s="420">
        <f>+[7]BS17!F68</f>
        <v>0</v>
      </c>
      <c r="D90" s="318">
        <f>+[7]BS17!G68</f>
        <v>0</v>
      </c>
      <c r="E90" s="319">
        <f>+[7]BS17!H68</f>
        <v>0</v>
      </c>
      <c r="F90" s="320">
        <f>[7]BS17A!V811</f>
        <v>0</v>
      </c>
    </row>
    <row r="91" spans="1:6" ht="15" customHeight="1" x14ac:dyDescent="0.2">
      <c r="A91" s="435" t="s">
        <v>137</v>
      </c>
      <c r="B91" s="430" t="s">
        <v>138</v>
      </c>
      <c r="C91" s="421">
        <f>+[7]BS17!F69</f>
        <v>183</v>
      </c>
      <c r="D91" s="321">
        <f>+[7]BS17!G69</f>
        <v>0</v>
      </c>
      <c r="E91" s="322">
        <f>+[7]BS17!H69</f>
        <v>0</v>
      </c>
      <c r="F91" s="323">
        <f>[7]BS17A!V882</f>
        <v>54080950</v>
      </c>
    </row>
    <row r="92" spans="1:6" ht="15" customHeight="1" x14ac:dyDescent="0.2">
      <c r="A92" s="435" t="s">
        <v>139</v>
      </c>
      <c r="B92" s="430" t="s">
        <v>140</v>
      </c>
      <c r="C92" s="421">
        <f>+[7]BS17!F70</f>
        <v>31</v>
      </c>
      <c r="D92" s="321">
        <f>+[7]BS17!G70</f>
        <v>7</v>
      </c>
      <c r="E92" s="322">
        <f>+[7]BS17!H70</f>
        <v>0</v>
      </c>
      <c r="F92" s="323">
        <f>[7]BS17A!V961</f>
        <v>2978660</v>
      </c>
    </row>
    <row r="93" spans="1:6" ht="15" customHeight="1" x14ac:dyDescent="0.2">
      <c r="A93" s="435" t="s">
        <v>141</v>
      </c>
      <c r="B93" s="430" t="s">
        <v>142</v>
      </c>
      <c r="C93" s="421">
        <f>+[7]BS17!F71</f>
        <v>6</v>
      </c>
      <c r="D93" s="321">
        <f>+[7]BS17!G71</f>
        <v>0</v>
      </c>
      <c r="E93" s="322">
        <f>+[7]BS17!H71</f>
        <v>0</v>
      </c>
      <c r="F93" s="323">
        <f>[7]BS17A!V1037</f>
        <v>465620</v>
      </c>
    </row>
    <row r="94" spans="1:6" ht="15" customHeight="1" x14ac:dyDescent="0.2">
      <c r="A94" s="435" t="s">
        <v>143</v>
      </c>
      <c r="B94" s="430" t="s">
        <v>144</v>
      </c>
      <c r="C94" s="421">
        <f>+[7]BS17!F72</f>
        <v>78</v>
      </c>
      <c r="D94" s="321">
        <f>+[7]BS17!G72</f>
        <v>0</v>
      </c>
      <c r="E94" s="322">
        <f>+[7]BS17!H72</f>
        <v>0</v>
      </c>
      <c r="F94" s="323">
        <f>[7]BS17A!V1098</f>
        <v>3688420</v>
      </c>
    </row>
    <row r="95" spans="1:6" ht="15" customHeight="1" x14ac:dyDescent="0.2">
      <c r="A95" s="435" t="s">
        <v>145</v>
      </c>
      <c r="B95" s="430" t="s">
        <v>146</v>
      </c>
      <c r="C95" s="421">
        <f>+[7]BS17!F73</f>
        <v>79</v>
      </c>
      <c r="D95" s="321">
        <f>+[7]BS17!G73</f>
        <v>2</v>
      </c>
      <c r="E95" s="322">
        <f>+[7]BS17!H73</f>
        <v>0</v>
      </c>
      <c r="F95" s="323">
        <f>[7]BS17A!V1166</f>
        <v>1595450</v>
      </c>
    </row>
    <row r="96" spans="1:6" ht="15" customHeight="1" x14ac:dyDescent="0.2">
      <c r="A96" s="435" t="s">
        <v>147</v>
      </c>
      <c r="B96" s="430" t="s">
        <v>148</v>
      </c>
      <c r="C96" s="421">
        <f>+[7]BS17!F74</f>
        <v>3</v>
      </c>
      <c r="D96" s="321">
        <f>+[7]BS17!G74</f>
        <v>0</v>
      </c>
      <c r="E96" s="322">
        <f>+[7]BS17!H74</f>
        <v>0</v>
      </c>
      <c r="F96" s="323">
        <f>[7]BS17A!V1221</f>
        <v>288870</v>
      </c>
    </row>
    <row r="97" spans="1:6" ht="15" customHeight="1" x14ac:dyDescent="0.2">
      <c r="A97" s="435" t="s">
        <v>149</v>
      </c>
      <c r="B97" s="430" t="s">
        <v>150</v>
      </c>
      <c r="C97" s="421">
        <f>+[7]BS17!F75</f>
        <v>3</v>
      </c>
      <c r="D97" s="321">
        <f>+[7]BS17!G75</f>
        <v>0</v>
      </c>
      <c r="E97" s="322">
        <f>+[7]BS17!H75</f>
        <v>0</v>
      </c>
      <c r="F97" s="323">
        <f>[7]BS17A!V1287</f>
        <v>217770</v>
      </c>
    </row>
    <row r="98" spans="1:6" ht="15" customHeight="1" x14ac:dyDescent="0.2">
      <c r="A98" s="435" t="s">
        <v>151</v>
      </c>
      <c r="B98" s="430" t="s">
        <v>152</v>
      </c>
      <c r="C98" s="421">
        <f>+[7]BS17!F76</f>
        <v>129</v>
      </c>
      <c r="D98" s="321">
        <f>+[7]BS17!G76</f>
        <v>13</v>
      </c>
      <c r="E98" s="322">
        <f>+[7]BS17!H76</f>
        <v>0</v>
      </c>
      <c r="F98" s="323">
        <f>[7]BS17A!V1357</f>
        <v>33957245</v>
      </c>
    </row>
    <row r="99" spans="1:6" ht="15" customHeight="1" x14ac:dyDescent="0.2">
      <c r="A99" s="435" t="s">
        <v>153</v>
      </c>
      <c r="B99" s="430" t="s">
        <v>154</v>
      </c>
      <c r="C99" s="421">
        <f>+[7]BS17!F77</f>
        <v>9</v>
      </c>
      <c r="D99" s="321">
        <f>+[7]BS17!G77</f>
        <v>1</v>
      </c>
      <c r="E99" s="322">
        <f>+[7]BS17!H77</f>
        <v>0</v>
      </c>
      <c r="F99" s="323">
        <f>[7]BS17A!V1441</f>
        <v>920565</v>
      </c>
    </row>
    <row r="100" spans="1:6" ht="15" customHeight="1" x14ac:dyDescent="0.2">
      <c r="A100" s="435" t="s">
        <v>155</v>
      </c>
      <c r="B100" s="430" t="s">
        <v>156</v>
      </c>
      <c r="C100" s="421">
        <f>+[7]BS17!F78</f>
        <v>33</v>
      </c>
      <c r="D100" s="321">
        <f>+[7]BS17!G78</f>
        <v>0</v>
      </c>
      <c r="E100" s="322">
        <f>+[7]BS17!H78</f>
        <v>0</v>
      </c>
      <c r="F100" s="323">
        <f>[7]BS17A!V1489</f>
        <v>6451800</v>
      </c>
    </row>
    <row r="101" spans="1:6" ht="15" customHeight="1" x14ac:dyDescent="0.2">
      <c r="A101" s="435" t="s">
        <v>157</v>
      </c>
      <c r="B101" s="430" t="s">
        <v>158</v>
      </c>
      <c r="C101" s="421">
        <f>+[7]BS17!F79</f>
        <v>6</v>
      </c>
      <c r="D101" s="321">
        <f>+[7]BS17!G79</f>
        <v>1</v>
      </c>
      <c r="E101" s="322">
        <f>+[7]BS17!H79</f>
        <v>0</v>
      </c>
      <c r="F101" s="323">
        <f>[7]BS17A!V1592</f>
        <v>1658430</v>
      </c>
    </row>
    <row r="102" spans="1:6" ht="15" customHeight="1" x14ac:dyDescent="0.2">
      <c r="A102" s="467" t="s">
        <v>159</v>
      </c>
      <c r="B102" s="450" t="s">
        <v>160</v>
      </c>
      <c r="C102" s="422">
        <f>+[7]BS17!F80</f>
        <v>54</v>
      </c>
      <c r="D102" s="324">
        <f>+[7]BS17!G80</f>
        <v>6</v>
      </c>
      <c r="E102" s="325">
        <f>+[7]BS17!H80</f>
        <v>0</v>
      </c>
      <c r="F102" s="326">
        <f>[7]BS17A!V1597</f>
        <v>9638225</v>
      </c>
    </row>
    <row r="103" spans="1:6" ht="15" customHeight="1" x14ac:dyDescent="0.2">
      <c r="A103" s="434" t="s">
        <v>161</v>
      </c>
      <c r="B103" s="429" t="s">
        <v>162</v>
      </c>
      <c r="C103" s="420">
        <f>+[7]BS17!F81</f>
        <v>54</v>
      </c>
      <c r="D103" s="318">
        <f>+[7]BS17!G81</f>
        <v>3</v>
      </c>
      <c r="E103" s="319">
        <f>+[7]BS17!H81</f>
        <v>0</v>
      </c>
      <c r="F103" s="320">
        <f>+[7]BS17A!V1631</f>
        <v>6511385</v>
      </c>
    </row>
    <row r="104" spans="1:6" ht="15" customHeight="1" x14ac:dyDescent="0.2">
      <c r="A104" s="435"/>
      <c r="B104" s="430" t="s">
        <v>163</v>
      </c>
      <c r="C104" s="421">
        <f>+[7]BS17A!D1635</f>
        <v>0</v>
      </c>
      <c r="D104" s="321">
        <f>+[7]BS17A!F1635</f>
        <v>0</v>
      </c>
      <c r="E104" s="322">
        <f>+[7]BS17A!G1635</f>
        <v>0</v>
      </c>
      <c r="F104" s="323">
        <f>+[7]BS17A!V1635</f>
        <v>0</v>
      </c>
    </row>
    <row r="105" spans="1:6" ht="15" customHeight="1" x14ac:dyDescent="0.2">
      <c r="A105" s="435"/>
      <c r="B105" s="430" t="s">
        <v>164</v>
      </c>
      <c r="C105" s="421">
        <f>+[7]BS17A!D1634</f>
        <v>35</v>
      </c>
      <c r="D105" s="321">
        <f>+[7]BS17A!F1634</f>
        <v>0</v>
      </c>
      <c r="E105" s="322">
        <f>+[7]BS17A!G1634</f>
        <v>0</v>
      </c>
      <c r="F105" s="323">
        <f>+[7]BS17A!V1634</f>
        <v>4513250</v>
      </c>
    </row>
    <row r="106" spans="1:6" ht="15" customHeight="1" x14ac:dyDescent="0.2">
      <c r="A106" s="436"/>
      <c r="B106" s="444" t="s">
        <v>165</v>
      </c>
      <c r="C106" s="423">
        <f>+[7]BS17A!D1632+[7]BS17A!D1633</f>
        <v>19</v>
      </c>
      <c r="D106" s="328">
        <f>+[7]BS17A!F1632+[7]BS17A!F1633</f>
        <v>3</v>
      </c>
      <c r="E106" s="329">
        <f>+[7]BS17A!G1632+[7]BS17A!G1633</f>
        <v>0</v>
      </c>
      <c r="F106" s="330">
        <f>+[7]BS17A!V1632+[7]BS17A!V1633</f>
        <v>1998135</v>
      </c>
    </row>
    <row r="107" spans="1:6" ht="15" customHeight="1" x14ac:dyDescent="0.2">
      <c r="A107" s="472" t="s">
        <v>166</v>
      </c>
      <c r="B107" s="471" t="s">
        <v>167</v>
      </c>
      <c r="C107" s="424">
        <f>+[7]BS17!F82</f>
        <v>66</v>
      </c>
      <c r="D107" s="331">
        <f>+[7]BS17!G82</f>
        <v>0</v>
      </c>
      <c r="E107" s="332">
        <f>+[7]BS17!H82</f>
        <v>0</v>
      </c>
      <c r="F107" s="333">
        <f>+[7]BS17A!V1639</f>
        <v>11631250</v>
      </c>
    </row>
    <row r="108" spans="1:6" ht="15" customHeight="1" x14ac:dyDescent="0.2">
      <c r="A108" s="468">
        <v>2106</v>
      </c>
      <c r="B108" s="444" t="s">
        <v>168</v>
      </c>
      <c r="C108" s="423">
        <f>[7]BS17A!D1845</f>
        <v>3</v>
      </c>
      <c r="D108" s="328">
        <f>[7]BS17A!F1845</f>
        <v>0</v>
      </c>
      <c r="E108" s="329">
        <f>[7]BS17A!G1845</f>
        <v>0</v>
      </c>
      <c r="F108" s="330">
        <f>+[7]BS17A!V1845</f>
        <v>161790</v>
      </c>
    </row>
    <row r="109" spans="1:6" ht="15" customHeight="1" x14ac:dyDescent="0.2">
      <c r="A109" s="442"/>
      <c r="B109" s="441" t="s">
        <v>169</v>
      </c>
      <c r="C109" s="425">
        <f>SUM(C90:C108)-C103</f>
        <v>737</v>
      </c>
      <c r="D109" s="335">
        <f>SUM(D90:D108)-D103</f>
        <v>33</v>
      </c>
      <c r="E109" s="336">
        <f>+SUM(E90:E103)+E107+E108</f>
        <v>0</v>
      </c>
      <c r="F109" s="337">
        <f>+SUM(F90:F103)+F107+F108</f>
        <v>134246430</v>
      </c>
    </row>
    <row r="110" spans="1:6" ht="12.75" x14ac:dyDescent="0.2">
      <c r="A110" s="262"/>
      <c r="B110" s="262"/>
      <c r="C110" s="262"/>
      <c r="D110" s="262"/>
      <c r="E110" s="262"/>
      <c r="F110" s="259"/>
    </row>
    <row r="111" spans="1:6" ht="12.75" x14ac:dyDescent="0.2">
      <c r="A111" s="262"/>
      <c r="B111" s="262"/>
      <c r="C111" s="262"/>
      <c r="D111" s="262"/>
      <c r="E111" s="262"/>
      <c r="F111" s="259"/>
    </row>
    <row r="112" spans="1:6" ht="12.75" x14ac:dyDescent="0.2">
      <c r="A112" s="583" t="s">
        <v>170</v>
      </c>
      <c r="B112" s="584"/>
      <c r="C112" s="584"/>
      <c r="D112" s="584"/>
      <c r="E112" s="585"/>
      <c r="F112" s="259"/>
    </row>
    <row r="113" spans="1:6" ht="49.5" customHeight="1" x14ac:dyDescent="0.2">
      <c r="A113" s="264" t="s">
        <v>8</v>
      </c>
      <c r="B113" s="264" t="s">
        <v>9</v>
      </c>
      <c r="C113" s="495" t="s">
        <v>10</v>
      </c>
      <c r="D113" s="310" t="s">
        <v>11</v>
      </c>
      <c r="E113" s="497" t="s">
        <v>12</v>
      </c>
      <c r="F113" s="259"/>
    </row>
    <row r="114" spans="1:6" ht="15" customHeight="1" x14ac:dyDescent="0.2">
      <c r="A114" s="434" t="s">
        <v>171</v>
      </c>
      <c r="B114" s="429" t="s">
        <v>172</v>
      </c>
      <c r="C114" s="383">
        <f>+[7]BS17A!D1636</f>
        <v>76</v>
      </c>
      <c r="D114" s="338">
        <f>+[7]BS17A!U1636</f>
        <v>128940</v>
      </c>
      <c r="E114" s="339">
        <f>+[7]BS17A!V1636</f>
        <v>9799440</v>
      </c>
      <c r="F114" s="262"/>
    </row>
    <row r="115" spans="1:6" ht="15" customHeight="1" x14ac:dyDescent="0.2">
      <c r="A115" s="436" t="s">
        <v>173</v>
      </c>
      <c r="B115" s="465" t="s">
        <v>174</v>
      </c>
      <c r="C115" s="410">
        <f>+[7]BS17A!D1637</f>
        <v>3</v>
      </c>
      <c r="D115" s="340">
        <f>+[7]BS17A!U1637</f>
        <v>135670</v>
      </c>
      <c r="E115" s="315">
        <f>+[7]BS17A!V1637</f>
        <v>407010</v>
      </c>
      <c r="F115" s="262"/>
    </row>
    <row r="116" spans="1:6" ht="15" customHeight="1" x14ac:dyDescent="0.2">
      <c r="A116" s="316"/>
      <c r="B116" s="393" t="s">
        <v>175</v>
      </c>
      <c r="C116" s="316">
        <f>SUM(C114:C115)</f>
        <v>79</v>
      </c>
      <c r="D116" s="288"/>
      <c r="E116" s="317">
        <f>SUM(E114:E115)</f>
        <v>10206450</v>
      </c>
      <c r="F116" s="262"/>
    </row>
    <row r="117" spans="1:6" ht="12.75" x14ac:dyDescent="0.2">
      <c r="A117" s="262"/>
      <c r="B117" s="262"/>
      <c r="C117" s="262"/>
      <c r="D117" s="262"/>
      <c r="E117" s="262"/>
      <c r="F117" s="262"/>
    </row>
    <row r="118" spans="1:6" ht="12.75" x14ac:dyDescent="0.2">
      <c r="A118" s="262"/>
      <c r="B118" s="262"/>
      <c r="C118" s="262"/>
      <c r="D118" s="262"/>
      <c r="E118" s="262"/>
      <c r="F118" s="259"/>
    </row>
    <row r="119" spans="1:6" ht="12.75" x14ac:dyDescent="0.2">
      <c r="A119" s="608" t="s">
        <v>176</v>
      </c>
      <c r="B119" s="608"/>
      <c r="C119" s="608"/>
      <c r="D119" s="262"/>
      <c r="E119" s="262"/>
      <c r="F119" s="259"/>
    </row>
    <row r="120" spans="1:6" ht="38.25" customHeight="1" x14ac:dyDescent="0.2">
      <c r="A120" s="264" t="s">
        <v>8</v>
      </c>
      <c r="B120" s="264" t="s">
        <v>10</v>
      </c>
      <c r="C120" s="264" t="s">
        <v>12</v>
      </c>
      <c r="D120" s="262"/>
      <c r="E120" s="262"/>
      <c r="F120" s="262"/>
    </row>
    <row r="121" spans="1:6" ht="15" customHeight="1" x14ac:dyDescent="0.2">
      <c r="A121" s="341" t="s">
        <v>177</v>
      </c>
      <c r="B121" s="342" t="s">
        <v>178</v>
      </c>
      <c r="C121" s="343">
        <f>+[7]BS17A!V1871+[7]BS17A!V1889+[7]BS17A!V1914</f>
        <v>13470330</v>
      </c>
      <c r="D121" s="262"/>
      <c r="E121" s="262"/>
      <c r="F121" s="262"/>
    </row>
    <row r="122" spans="1:6" ht="12.75" x14ac:dyDescent="0.2">
      <c r="A122" s="262"/>
      <c r="B122" s="262"/>
      <c r="C122" s="262"/>
      <c r="D122" s="262"/>
      <c r="E122" s="259"/>
      <c r="F122" s="262"/>
    </row>
    <row r="123" spans="1:6" ht="12.75" x14ac:dyDescent="0.2">
      <c r="A123" s="262"/>
      <c r="B123" s="262"/>
      <c r="C123" s="262"/>
      <c r="D123" s="262"/>
      <c r="E123" s="259"/>
      <c r="F123" s="262"/>
    </row>
    <row r="124" spans="1:6" ht="12.75" x14ac:dyDescent="0.2">
      <c r="A124" s="583" t="s">
        <v>179</v>
      </c>
      <c r="B124" s="584"/>
      <c r="C124" s="584"/>
      <c r="D124" s="584"/>
      <c r="E124" s="585"/>
      <c r="F124" s="259"/>
    </row>
    <row r="125" spans="1:6" ht="45.75" customHeight="1" x14ac:dyDescent="0.2">
      <c r="A125" s="264" t="s">
        <v>8</v>
      </c>
      <c r="B125" s="264" t="s">
        <v>9</v>
      </c>
      <c r="C125" s="495" t="s">
        <v>10</v>
      </c>
      <c r="D125" s="310" t="s">
        <v>11</v>
      </c>
      <c r="E125" s="497" t="s">
        <v>12</v>
      </c>
      <c r="F125" s="259"/>
    </row>
    <row r="126" spans="1:6" ht="15" customHeight="1" x14ac:dyDescent="0.2">
      <c r="A126" s="434" t="s">
        <v>180</v>
      </c>
      <c r="B126" s="451" t="s">
        <v>181</v>
      </c>
      <c r="C126" s="383">
        <f>+[7]BS17A!$D59</f>
        <v>5651</v>
      </c>
      <c r="D126" s="275">
        <f>+[7]BS17A!$U59</f>
        <v>33020</v>
      </c>
      <c r="E126" s="344">
        <f>+[7]BS17A!$V59</f>
        <v>186596020</v>
      </c>
      <c r="F126" s="262"/>
    </row>
    <row r="127" spans="1:6" ht="15" customHeight="1" x14ac:dyDescent="0.2">
      <c r="A127" s="435" t="s">
        <v>182</v>
      </c>
      <c r="B127" s="431" t="s">
        <v>183</v>
      </c>
      <c r="C127" s="380">
        <f>+[7]BS17A!$D60</f>
        <v>0</v>
      </c>
      <c r="D127" s="270">
        <f>+[7]BS17A!$U60</f>
        <v>30400</v>
      </c>
      <c r="E127" s="345">
        <f>+[7]BS17A!$V60</f>
        <v>0</v>
      </c>
      <c r="F127" s="262"/>
    </row>
    <row r="128" spans="1:6" ht="15" customHeight="1" x14ac:dyDescent="0.2">
      <c r="A128" s="435" t="s">
        <v>184</v>
      </c>
      <c r="B128" s="431" t="s">
        <v>185</v>
      </c>
      <c r="C128" s="380">
        <f>+[7]BS17A!$D61</f>
        <v>0</v>
      </c>
      <c r="D128" s="270">
        <f>+[7]BS17A!$U61</f>
        <v>25340</v>
      </c>
      <c r="E128" s="345">
        <f>+[7]BS17A!$V61</f>
        <v>0</v>
      </c>
      <c r="F128" s="262"/>
    </row>
    <row r="129" spans="1:6" ht="15" customHeight="1" x14ac:dyDescent="0.2">
      <c r="A129" s="435" t="s">
        <v>186</v>
      </c>
      <c r="B129" s="431" t="s">
        <v>187</v>
      </c>
      <c r="C129" s="380">
        <f>SUM([7]BS17A!D62:D64)</f>
        <v>215</v>
      </c>
      <c r="D129" s="270">
        <f>+[7]BS17A!$U62</f>
        <v>137290</v>
      </c>
      <c r="E129" s="345">
        <f>SUM([7]BS17A!V62:V64)</f>
        <v>29517350</v>
      </c>
      <c r="F129" s="262"/>
    </row>
    <row r="130" spans="1:6" ht="15" customHeight="1" x14ac:dyDescent="0.2">
      <c r="A130" s="435" t="s">
        <v>188</v>
      </c>
      <c r="B130" s="431" t="s">
        <v>189</v>
      </c>
      <c r="C130" s="380">
        <f>SUM([7]BS17A!D65:D67)</f>
        <v>294</v>
      </c>
      <c r="D130" s="270">
        <f>+[7]BS17A!$U65</f>
        <v>66300</v>
      </c>
      <c r="E130" s="345">
        <f>SUM([7]BS17A!V65:V67)</f>
        <v>19492200</v>
      </c>
      <c r="F130" s="262"/>
    </row>
    <row r="131" spans="1:6" ht="15" customHeight="1" x14ac:dyDescent="0.2">
      <c r="A131" s="435" t="s">
        <v>190</v>
      </c>
      <c r="B131" s="431" t="s">
        <v>191</v>
      </c>
      <c r="C131" s="380">
        <f>+[7]BS17A!D68</f>
        <v>180</v>
      </c>
      <c r="D131" s="270">
        <f>+[7]BS17A!$U68</f>
        <v>59490</v>
      </c>
      <c r="E131" s="345">
        <f>+[7]BS17A!$V68</f>
        <v>10708200</v>
      </c>
      <c r="F131" s="262"/>
    </row>
    <row r="132" spans="1:6" ht="15" customHeight="1" x14ac:dyDescent="0.2">
      <c r="A132" s="435" t="s">
        <v>192</v>
      </c>
      <c r="B132" s="431" t="s">
        <v>193</v>
      </c>
      <c r="C132" s="380">
        <f>+[7]BS17A!$D69</f>
        <v>0</v>
      </c>
      <c r="D132" s="270">
        <f>+[7]BS17A!$U69</f>
        <v>16880</v>
      </c>
      <c r="E132" s="345">
        <f>+[7]BS17A!$V69</f>
        <v>0</v>
      </c>
      <c r="F132" s="262"/>
    </row>
    <row r="133" spans="1:6" ht="15" customHeight="1" x14ac:dyDescent="0.2">
      <c r="A133" s="435" t="s">
        <v>194</v>
      </c>
      <c r="B133" s="431" t="s">
        <v>195</v>
      </c>
      <c r="C133" s="380">
        <f>+[7]BS17A!$D70</f>
        <v>0</v>
      </c>
      <c r="D133" s="270">
        <f>+[7]BS17A!$U70</f>
        <v>26450</v>
      </c>
      <c r="E133" s="345">
        <f>+[7]BS17A!$V70</f>
        <v>0</v>
      </c>
      <c r="F133" s="262"/>
    </row>
    <row r="134" spans="1:6" ht="15" customHeight="1" x14ac:dyDescent="0.2">
      <c r="A134" s="435" t="s">
        <v>196</v>
      </c>
      <c r="B134" s="431" t="s">
        <v>197</v>
      </c>
      <c r="C134" s="380">
        <f>+[7]BS17A!$D73</f>
        <v>0</v>
      </c>
      <c r="D134" s="270">
        <f>+[7]BS17A!$U73</f>
        <v>26670</v>
      </c>
      <c r="E134" s="345">
        <f>+[7]BS17A!$V73</f>
        <v>0</v>
      </c>
      <c r="F134" s="262"/>
    </row>
    <row r="135" spans="1:6" ht="15" customHeight="1" x14ac:dyDescent="0.2">
      <c r="A135" s="435" t="s">
        <v>198</v>
      </c>
      <c r="B135" s="431" t="s">
        <v>199</v>
      </c>
      <c r="C135" s="380">
        <f>+[7]BS17A!$D71</f>
        <v>0</v>
      </c>
      <c r="D135" s="270">
        <f>+[7]BS17A!$U71</f>
        <v>27530</v>
      </c>
      <c r="E135" s="345">
        <f>+[7]BS17A!$V71</f>
        <v>0</v>
      </c>
      <c r="F135" s="262"/>
    </row>
    <row r="136" spans="1:6" ht="15" customHeight="1" x14ac:dyDescent="0.2">
      <c r="A136" s="435" t="s">
        <v>200</v>
      </c>
      <c r="B136" s="431" t="s">
        <v>201</v>
      </c>
      <c r="C136" s="380">
        <f>+[7]BS17A!$D76</f>
        <v>0</v>
      </c>
      <c r="D136" s="270">
        <f>+[7]BS17A!$U76</f>
        <v>33020</v>
      </c>
      <c r="E136" s="345">
        <f>+[7]BS17A!$V76</f>
        <v>0</v>
      </c>
      <c r="F136" s="262"/>
    </row>
    <row r="137" spans="1:6" ht="15" customHeight="1" x14ac:dyDescent="0.2">
      <c r="A137" s="435" t="s">
        <v>202</v>
      </c>
      <c r="B137" s="430" t="s">
        <v>203</v>
      </c>
      <c r="C137" s="380">
        <f>+[7]BS17A!$D79</f>
        <v>34</v>
      </c>
      <c r="D137" s="270">
        <f>+[7]BS17A!$U79</f>
        <v>6410</v>
      </c>
      <c r="E137" s="345">
        <f>+[7]BS17A!$V79</f>
        <v>217940</v>
      </c>
      <c r="F137" s="262"/>
    </row>
    <row r="138" spans="1:6" ht="15" customHeight="1" x14ac:dyDescent="0.2">
      <c r="A138" s="435" t="s">
        <v>204</v>
      </c>
      <c r="B138" s="430" t="s">
        <v>205</v>
      </c>
      <c r="C138" s="380">
        <f>+[7]BS17A!$D80</f>
        <v>0</v>
      </c>
      <c r="D138" s="270">
        <f>+[7]BS17A!$U80</f>
        <v>46280</v>
      </c>
      <c r="E138" s="345">
        <f>+[7]BS17A!$V80</f>
        <v>0</v>
      </c>
      <c r="F138" s="262"/>
    </row>
    <row r="139" spans="1:6" ht="15" customHeight="1" x14ac:dyDescent="0.2">
      <c r="A139" s="436"/>
      <c r="B139" s="469" t="s">
        <v>206</v>
      </c>
      <c r="C139" s="419">
        <f>SUM(C126:C138)</f>
        <v>6374</v>
      </c>
      <c r="D139" s="346"/>
      <c r="E139" s="347">
        <f>SUM(E126:E138)</f>
        <v>246531710</v>
      </c>
      <c r="F139" s="262"/>
    </row>
    <row r="140" spans="1:6" ht="15" customHeight="1" x14ac:dyDescent="0.2">
      <c r="A140" s="434"/>
      <c r="B140" s="470" t="s">
        <v>207</v>
      </c>
      <c r="C140" s="383"/>
      <c r="D140" s="275"/>
      <c r="E140" s="344"/>
      <c r="F140" s="262"/>
    </row>
    <row r="141" spans="1:6" ht="15" customHeight="1" x14ac:dyDescent="0.2">
      <c r="A141" s="435" t="s">
        <v>208</v>
      </c>
      <c r="B141" s="431" t="s">
        <v>209</v>
      </c>
      <c r="C141" s="380">
        <f>+[7]BS17A!$D72</f>
        <v>0</v>
      </c>
      <c r="D141" s="270">
        <f>+[7]BS17A!$U72</f>
        <v>11100</v>
      </c>
      <c r="E141" s="345">
        <f>+[7]BS17A!$V72</f>
        <v>0</v>
      </c>
      <c r="F141" s="262"/>
    </row>
    <row r="142" spans="1:6" ht="15" customHeight="1" x14ac:dyDescent="0.2">
      <c r="A142" s="435" t="s">
        <v>210</v>
      </c>
      <c r="B142" s="431" t="s">
        <v>211</v>
      </c>
      <c r="C142" s="380">
        <f>+[7]BS17A!$D74</f>
        <v>0</v>
      </c>
      <c r="D142" s="270">
        <f>+[7]BS17A!$U74</f>
        <v>11100</v>
      </c>
      <c r="E142" s="345">
        <f>+[7]BS17A!$V74</f>
        <v>0</v>
      </c>
      <c r="F142" s="262"/>
    </row>
    <row r="143" spans="1:6" ht="15" customHeight="1" x14ac:dyDescent="0.2">
      <c r="A143" s="435" t="s">
        <v>212</v>
      </c>
      <c r="B143" s="431" t="s">
        <v>213</v>
      </c>
      <c r="C143" s="380">
        <f>+[7]BS17A!$D75</f>
        <v>0</v>
      </c>
      <c r="D143" s="270">
        <f>+[7]BS17A!$U75</f>
        <v>4890</v>
      </c>
      <c r="E143" s="345">
        <f>+[7]BS17A!$V75</f>
        <v>0</v>
      </c>
      <c r="F143" s="262"/>
    </row>
    <row r="144" spans="1:6" ht="15" customHeight="1" x14ac:dyDescent="0.2">
      <c r="A144" s="435" t="s">
        <v>214</v>
      </c>
      <c r="B144" s="431" t="s">
        <v>215</v>
      </c>
      <c r="C144" s="380">
        <f>+[7]BS17A!$D77</f>
        <v>0</v>
      </c>
      <c r="D144" s="270">
        <f>+[7]BS17A!$U77</f>
        <v>89270</v>
      </c>
      <c r="E144" s="345">
        <f>+[7]BS17A!$V77</f>
        <v>0</v>
      </c>
      <c r="F144" s="262"/>
    </row>
    <row r="145" spans="1:6" ht="15" customHeight="1" x14ac:dyDescent="0.2">
      <c r="A145" s="435" t="s">
        <v>216</v>
      </c>
      <c r="B145" s="431" t="s">
        <v>217</v>
      </c>
      <c r="C145" s="380">
        <f>+[7]BS17A!$D78</f>
        <v>0</v>
      </c>
      <c r="D145" s="270">
        <f>+[7]BS17A!$U78</f>
        <v>10540</v>
      </c>
      <c r="E145" s="345">
        <f>+[7]BS17A!$V78</f>
        <v>0</v>
      </c>
      <c r="F145" s="262"/>
    </row>
    <row r="146" spans="1:6" ht="15" customHeight="1" x14ac:dyDescent="0.2">
      <c r="A146" s="435" t="s">
        <v>218</v>
      </c>
      <c r="B146" s="431" t="s">
        <v>219</v>
      </c>
      <c r="C146" s="380">
        <f>+[7]BS17A!$D81</f>
        <v>0</v>
      </c>
      <c r="D146" s="270">
        <f>+[7]BS17A!$U81</f>
        <v>8120</v>
      </c>
      <c r="E146" s="345">
        <f>+[7]BS17A!$V81</f>
        <v>0</v>
      </c>
      <c r="F146" s="262"/>
    </row>
    <row r="147" spans="1:6" ht="15" customHeight="1" x14ac:dyDescent="0.2">
      <c r="A147" s="436"/>
      <c r="B147" s="469" t="s">
        <v>220</v>
      </c>
      <c r="C147" s="419">
        <f>SUM(C141:C146)</f>
        <v>0</v>
      </c>
      <c r="D147" s="346"/>
      <c r="E147" s="347">
        <f>SUM(E141:E146)</f>
        <v>0</v>
      </c>
      <c r="F147" s="262"/>
    </row>
    <row r="148" spans="1:6" ht="15" customHeight="1" x14ac:dyDescent="0.2">
      <c r="A148" s="442"/>
      <c r="B148" s="441" t="s">
        <v>221</v>
      </c>
      <c r="C148" s="279">
        <f>+C139+C147</f>
        <v>6374</v>
      </c>
      <c r="D148" s="348"/>
      <c r="E148" s="349">
        <f>+E139+E147</f>
        <v>246531710</v>
      </c>
      <c r="F148" s="262"/>
    </row>
    <row r="149" spans="1:6" ht="12.75" x14ac:dyDescent="0.2">
      <c r="A149" s="262"/>
      <c r="B149" s="262"/>
      <c r="C149" s="262"/>
      <c r="D149" s="262"/>
      <c r="E149" s="262"/>
      <c r="F149" s="262"/>
    </row>
    <row r="150" spans="1:6" ht="12.75" x14ac:dyDescent="0.2">
      <c r="A150" s="262"/>
      <c r="B150" s="262"/>
      <c r="C150" s="262"/>
      <c r="D150" s="262"/>
      <c r="E150" s="262"/>
      <c r="F150" s="259"/>
    </row>
    <row r="151" spans="1:6" ht="12.75" x14ac:dyDescent="0.2">
      <c r="A151" s="597" t="s">
        <v>222</v>
      </c>
      <c r="B151" s="598"/>
      <c r="C151" s="598"/>
      <c r="D151" s="598"/>
      <c r="E151" s="599"/>
      <c r="F151" s="259"/>
    </row>
    <row r="152" spans="1:6" ht="47.25" customHeight="1" x14ac:dyDescent="0.2">
      <c r="A152" s="264" t="s">
        <v>8</v>
      </c>
      <c r="B152" s="264" t="s">
        <v>9</v>
      </c>
      <c r="C152" s="495" t="s">
        <v>10</v>
      </c>
      <c r="D152" s="310" t="s">
        <v>11</v>
      </c>
      <c r="E152" s="497" t="s">
        <v>12</v>
      </c>
      <c r="F152" s="262"/>
    </row>
    <row r="153" spans="1:6" ht="15" customHeight="1" x14ac:dyDescent="0.2">
      <c r="A153" s="434" t="s">
        <v>223</v>
      </c>
      <c r="B153" s="451" t="s">
        <v>224</v>
      </c>
      <c r="C153" s="383">
        <f>+[7]BS17A!D43</f>
        <v>273</v>
      </c>
      <c r="D153" s="275">
        <f>[7]BS17A!U43</f>
        <v>760</v>
      </c>
      <c r="E153" s="344">
        <f>+[7]BS17A!V43</f>
        <v>207480</v>
      </c>
      <c r="F153" s="262"/>
    </row>
    <row r="154" spans="1:6" ht="15" customHeight="1" x14ac:dyDescent="0.2">
      <c r="A154" s="436" t="s">
        <v>225</v>
      </c>
      <c r="B154" s="432" t="s">
        <v>226</v>
      </c>
      <c r="C154" s="395">
        <f>+[7]BS17A!D44+[7]BS17A!D45</f>
        <v>0</v>
      </c>
      <c r="D154" s="277">
        <f>[7]BS17A!U44</f>
        <v>100</v>
      </c>
      <c r="E154" s="350">
        <f>+[7]BS17A!V44+[7]BS17A!V45</f>
        <v>0</v>
      </c>
      <c r="F154" s="262"/>
    </row>
    <row r="155" spans="1:6" ht="15" customHeight="1" x14ac:dyDescent="0.2">
      <c r="A155" s="442"/>
      <c r="B155" s="441" t="s">
        <v>227</v>
      </c>
      <c r="C155" s="279">
        <f>SUM(C153:C154)</f>
        <v>273</v>
      </c>
      <c r="D155" s="348"/>
      <c r="E155" s="349">
        <f>SUM(E153:E154)</f>
        <v>207480</v>
      </c>
      <c r="F155" s="262"/>
    </row>
    <row r="156" spans="1:6" ht="12.75" x14ac:dyDescent="0.2">
      <c r="A156" s="262"/>
      <c r="B156" s="262"/>
      <c r="C156" s="262"/>
      <c r="D156" s="262"/>
      <c r="E156" s="262"/>
      <c r="F156" s="262"/>
    </row>
    <row r="157" spans="1:6" ht="12.75" x14ac:dyDescent="0.2">
      <c r="A157" s="262"/>
      <c r="B157" s="262"/>
      <c r="C157" s="262"/>
      <c r="D157" s="262"/>
      <c r="E157" s="262"/>
      <c r="F157" s="262"/>
    </row>
    <row r="158" spans="1:6" ht="18" customHeight="1" x14ac:dyDescent="0.2">
      <c r="A158" s="597" t="s">
        <v>228</v>
      </c>
      <c r="B158" s="598"/>
      <c r="C158" s="598"/>
      <c r="D158" s="598"/>
      <c r="E158" s="599"/>
      <c r="F158" s="259"/>
    </row>
    <row r="159" spans="1:6" ht="47.25" customHeight="1" x14ac:dyDescent="0.2">
      <c r="A159" s="264" t="s">
        <v>8</v>
      </c>
      <c r="B159" s="264" t="s">
        <v>9</v>
      </c>
      <c r="C159" s="495" t="s">
        <v>10</v>
      </c>
      <c r="D159" s="310" t="s">
        <v>11</v>
      </c>
      <c r="E159" s="497" t="s">
        <v>12</v>
      </c>
      <c r="F159" s="262"/>
    </row>
    <row r="160" spans="1:6" ht="15" customHeight="1" x14ac:dyDescent="0.2">
      <c r="A160" s="434" t="s">
        <v>229</v>
      </c>
      <c r="B160" s="429" t="s">
        <v>230</v>
      </c>
      <c r="C160" s="414">
        <f>+[7]BS17A!$D1481</f>
        <v>0</v>
      </c>
      <c r="D160" s="275">
        <f>+[7]BS17A!$U1481</f>
        <v>41580</v>
      </c>
      <c r="E160" s="344">
        <f>+[7]BS17A!$V1481</f>
        <v>0</v>
      </c>
      <c r="F160" s="262"/>
    </row>
    <row r="161" spans="1:6" ht="15" customHeight="1" x14ac:dyDescent="0.2">
      <c r="A161" s="435" t="s">
        <v>231</v>
      </c>
      <c r="B161" s="431" t="s">
        <v>232</v>
      </c>
      <c r="C161" s="418">
        <f>+[7]BS17A!$D1482</f>
        <v>0</v>
      </c>
      <c r="D161" s="270">
        <f>+[7]BS17A!$U1482</f>
        <v>26150</v>
      </c>
      <c r="E161" s="345">
        <f>+[7]BS17A!$V1482</f>
        <v>0</v>
      </c>
      <c r="F161" s="262"/>
    </row>
    <row r="162" spans="1:6" ht="15" customHeight="1" x14ac:dyDescent="0.2">
      <c r="A162" s="435" t="s">
        <v>233</v>
      </c>
      <c r="B162" s="430" t="s">
        <v>234</v>
      </c>
      <c r="C162" s="418">
        <f>+[7]BS17A!$D1483</f>
        <v>0</v>
      </c>
      <c r="D162" s="270">
        <f>+[7]BS17A!$U1483</f>
        <v>26930</v>
      </c>
      <c r="E162" s="345">
        <f>+[7]BS17A!$V1483</f>
        <v>0</v>
      </c>
      <c r="F162" s="262"/>
    </row>
    <row r="163" spans="1:6" ht="15" customHeight="1" x14ac:dyDescent="0.2">
      <c r="A163" s="435" t="s">
        <v>235</v>
      </c>
      <c r="B163" s="431" t="s">
        <v>236</v>
      </c>
      <c r="C163" s="418">
        <f>+[7]BS17A!$D1484</f>
        <v>0</v>
      </c>
      <c r="D163" s="270">
        <f>+[7]BS17A!$U1484</f>
        <v>808040</v>
      </c>
      <c r="E163" s="345">
        <f>+[7]BS17A!$V1484</f>
        <v>0</v>
      </c>
      <c r="F163" s="262"/>
    </row>
    <row r="164" spans="1:6" ht="15" customHeight="1" x14ac:dyDescent="0.2">
      <c r="A164" s="435" t="s">
        <v>237</v>
      </c>
      <c r="B164" s="431" t="s">
        <v>238</v>
      </c>
      <c r="C164" s="418">
        <f>+[7]BS17A!$D1485</f>
        <v>0</v>
      </c>
      <c r="D164" s="270">
        <f>+[7]BS17A!$U1485</f>
        <v>367020</v>
      </c>
      <c r="E164" s="345">
        <f>+[7]BS17A!$V1485</f>
        <v>0</v>
      </c>
      <c r="F164" s="262"/>
    </row>
    <row r="165" spans="1:6" ht="15" customHeight="1" x14ac:dyDescent="0.2">
      <c r="A165" s="435" t="s">
        <v>239</v>
      </c>
      <c r="B165" s="431" t="s">
        <v>240</v>
      </c>
      <c r="C165" s="418">
        <f>+[7]BS17A!$D1486</f>
        <v>0</v>
      </c>
      <c r="D165" s="270">
        <f>+[7]BS17A!$U1486</f>
        <v>561210</v>
      </c>
      <c r="E165" s="345">
        <f>+[7]BS17A!$V1486</f>
        <v>0</v>
      </c>
      <c r="F165" s="262"/>
    </row>
    <row r="166" spans="1:6" ht="15" customHeight="1" x14ac:dyDescent="0.2">
      <c r="A166" s="467" t="s">
        <v>241</v>
      </c>
      <c r="B166" s="465" t="s">
        <v>242</v>
      </c>
      <c r="C166" s="418">
        <f>+[7]BS17A!$D1487</f>
        <v>0</v>
      </c>
      <c r="D166" s="270">
        <f>+[7]BS17A!$U1487</f>
        <v>50600</v>
      </c>
      <c r="E166" s="345">
        <f>+[7]BS17A!$V1487</f>
        <v>0</v>
      </c>
      <c r="F166" s="262"/>
    </row>
    <row r="167" spans="1:6" ht="15" customHeight="1" x14ac:dyDescent="0.2">
      <c r="A167" s="468">
        <v>1901029</v>
      </c>
      <c r="B167" s="466" t="s">
        <v>243</v>
      </c>
      <c r="C167" s="415">
        <f>+[7]BS17A!$D1488</f>
        <v>0</v>
      </c>
      <c r="D167" s="277">
        <f>+[7]BS17A!$U1488</f>
        <v>657830</v>
      </c>
      <c r="E167" s="350">
        <f>+[7]BS17A!$V1488</f>
        <v>0</v>
      </c>
      <c r="F167" s="262"/>
    </row>
    <row r="168" spans="1:6" ht="15" customHeight="1" x14ac:dyDescent="0.2">
      <c r="A168" s="334"/>
      <c r="B168" s="351" t="s">
        <v>244</v>
      </c>
      <c r="C168" s="352">
        <f>SUM(C160:C167)</f>
        <v>0</v>
      </c>
      <c r="D168" s="353"/>
      <c r="E168" s="354">
        <f>SUM(E160:E167)</f>
        <v>0</v>
      </c>
      <c r="F168" s="262"/>
    </row>
    <row r="169" spans="1:6" ht="12.75" x14ac:dyDescent="0.2">
      <c r="A169" s="262"/>
      <c r="B169" s="262"/>
      <c r="C169" s="262"/>
      <c r="D169" s="262"/>
      <c r="E169" s="262"/>
      <c r="F169" s="262"/>
    </row>
    <row r="170" spans="1:6" ht="18" customHeight="1" x14ac:dyDescent="0.2">
      <c r="A170" s="262"/>
      <c r="B170" s="262"/>
      <c r="C170" s="262"/>
      <c r="D170" s="262"/>
      <c r="E170" s="262"/>
      <c r="F170" s="262"/>
    </row>
    <row r="171" spans="1:6" ht="18" customHeight="1" x14ac:dyDescent="0.2">
      <c r="A171" s="583" t="s">
        <v>245</v>
      </c>
      <c r="B171" s="584"/>
      <c r="C171" s="584"/>
      <c r="D171" s="584"/>
      <c r="E171" s="585"/>
      <c r="F171" s="259"/>
    </row>
    <row r="172" spans="1:6" ht="46.5" customHeight="1" x14ac:dyDescent="0.2">
      <c r="A172" s="264" t="s">
        <v>8</v>
      </c>
      <c r="B172" s="264" t="s">
        <v>9</v>
      </c>
      <c r="C172" s="495" t="s">
        <v>10</v>
      </c>
      <c r="D172" s="310" t="s">
        <v>11</v>
      </c>
      <c r="E172" s="497" t="s">
        <v>12</v>
      </c>
      <c r="F172" s="262"/>
    </row>
    <row r="173" spans="1:6" ht="12.75" customHeight="1" x14ac:dyDescent="0.2">
      <c r="A173" s="463">
        <v>1101004</v>
      </c>
      <c r="B173" s="458" t="s">
        <v>246</v>
      </c>
      <c r="C173" s="383">
        <f>+[7]BS17A!$D805</f>
        <v>9</v>
      </c>
      <c r="D173" s="275">
        <f>+[7]BS17A!$U805</f>
        <v>14260</v>
      </c>
      <c r="E173" s="344">
        <f>+[7]BS17A!$V805</f>
        <v>128340</v>
      </c>
      <c r="F173" s="262"/>
    </row>
    <row r="174" spans="1:6" ht="12.75" customHeight="1" x14ac:dyDescent="0.2">
      <c r="A174" s="457">
        <v>1101006</v>
      </c>
      <c r="B174" s="459" t="s">
        <v>247</v>
      </c>
      <c r="C174" s="380">
        <f>+[7]BS17A!$D806</f>
        <v>0</v>
      </c>
      <c r="D174" s="270">
        <f>+[7]BS17A!$U806</f>
        <v>11400</v>
      </c>
      <c r="E174" s="345">
        <f>+[7]BS17A!$V806</f>
        <v>0</v>
      </c>
      <c r="F174" s="262"/>
    </row>
    <row r="175" spans="1:6" ht="24.75" customHeight="1" x14ac:dyDescent="0.2">
      <c r="A175" s="457" t="s">
        <v>248</v>
      </c>
      <c r="B175" s="460" t="s">
        <v>249</v>
      </c>
      <c r="C175" s="380">
        <f>+[7]BS17A!$D1197</f>
        <v>663</v>
      </c>
      <c r="D175" s="270">
        <f>+[7]BS17A!$U1197</f>
        <v>4880</v>
      </c>
      <c r="E175" s="345">
        <f>+[7]BS17A!$V1197</f>
        <v>3235440</v>
      </c>
      <c r="F175" s="262"/>
    </row>
    <row r="176" spans="1:6" ht="24.75" customHeight="1" x14ac:dyDescent="0.2">
      <c r="A176" s="457" t="s">
        <v>250</v>
      </c>
      <c r="B176" s="460" t="s">
        <v>251</v>
      </c>
      <c r="C176" s="380">
        <f>+[7]BS17A!$D1198</f>
        <v>8</v>
      </c>
      <c r="D176" s="270">
        <f>+[7]BS17A!$U1198</f>
        <v>13770</v>
      </c>
      <c r="E176" s="345">
        <f>+[7]BS17A!$V1198</f>
        <v>110160</v>
      </c>
      <c r="F176" s="262"/>
    </row>
    <row r="177" spans="1:6" ht="24.75" customHeight="1" x14ac:dyDescent="0.2">
      <c r="A177" s="457" t="s">
        <v>252</v>
      </c>
      <c r="B177" s="460" t="s">
        <v>253</v>
      </c>
      <c r="C177" s="380">
        <f>+[7]BS17A!$D1199</f>
        <v>26</v>
      </c>
      <c r="D177" s="270">
        <f>+[7]BS17A!$U1199</f>
        <v>23350</v>
      </c>
      <c r="E177" s="345">
        <f>+[7]BS17A!$V1199</f>
        <v>607100</v>
      </c>
      <c r="F177" s="262"/>
    </row>
    <row r="178" spans="1:6" ht="12.75" customHeight="1" x14ac:dyDescent="0.2">
      <c r="A178" s="457" t="s">
        <v>254</v>
      </c>
      <c r="B178" s="460" t="s">
        <v>255</v>
      </c>
      <c r="C178" s="380">
        <f>+[7]BS17A!$D1200</f>
        <v>0</v>
      </c>
      <c r="D178" s="270">
        <f>+[7]BS17A!$U1200</f>
        <v>44580</v>
      </c>
      <c r="E178" s="345">
        <f>+[7]BS17A!$V1200</f>
        <v>0</v>
      </c>
      <c r="F178" s="262"/>
    </row>
    <row r="179" spans="1:6" ht="12.75" customHeight="1" x14ac:dyDescent="0.2">
      <c r="A179" s="457" t="s">
        <v>256</v>
      </c>
      <c r="B179" s="460" t="s">
        <v>257</v>
      </c>
      <c r="C179" s="380">
        <f>+[7]BS17A!$D1201</f>
        <v>143</v>
      </c>
      <c r="D179" s="270">
        <f>+[7]BS17A!$U1201</f>
        <v>49690</v>
      </c>
      <c r="E179" s="345">
        <f>+[7]BS17A!$V1201</f>
        <v>7105670</v>
      </c>
      <c r="F179" s="262"/>
    </row>
    <row r="180" spans="1:6" ht="24.75" customHeight="1" x14ac:dyDescent="0.2">
      <c r="A180" s="457" t="s">
        <v>258</v>
      </c>
      <c r="B180" s="460" t="s">
        <v>259</v>
      </c>
      <c r="C180" s="380">
        <f>+[7]BS17A!$D1202</f>
        <v>0</v>
      </c>
      <c r="D180" s="270">
        <f>+[7]BS17A!$U1202</f>
        <v>27870</v>
      </c>
      <c r="E180" s="345">
        <f>+[7]BS17A!$V1202</f>
        <v>0</v>
      </c>
      <c r="F180" s="262"/>
    </row>
    <row r="181" spans="1:6" ht="12.75" customHeight="1" x14ac:dyDescent="0.2">
      <c r="A181" s="457" t="s">
        <v>260</v>
      </c>
      <c r="B181" s="461" t="s">
        <v>261</v>
      </c>
      <c r="C181" s="380">
        <f>+[7]BS17A!$D1203</f>
        <v>0</v>
      </c>
      <c r="D181" s="270">
        <f>+[7]BS17A!$U1203</f>
        <v>215630</v>
      </c>
      <c r="E181" s="345">
        <f>+[7]BS17A!$V1203</f>
        <v>0</v>
      </c>
      <c r="F181" s="262"/>
    </row>
    <row r="182" spans="1:6" ht="12.75" customHeight="1" x14ac:dyDescent="0.2">
      <c r="A182" s="457" t="s">
        <v>262</v>
      </c>
      <c r="B182" s="460" t="s">
        <v>263</v>
      </c>
      <c r="C182" s="380">
        <f>+[7]BS17A!$D1204</f>
        <v>0</v>
      </c>
      <c r="D182" s="270">
        <f>+[7]BS17A!$U1204</f>
        <v>245140</v>
      </c>
      <c r="E182" s="345">
        <f>+[7]BS17A!$V1204</f>
        <v>0</v>
      </c>
      <c r="F182" s="262"/>
    </row>
    <row r="183" spans="1:6" ht="12.75" customHeight="1" x14ac:dyDescent="0.2">
      <c r="A183" s="457" t="s">
        <v>264</v>
      </c>
      <c r="B183" s="460" t="s">
        <v>265</v>
      </c>
      <c r="C183" s="380">
        <f>+[7]BS17A!$D1205</f>
        <v>0</v>
      </c>
      <c r="D183" s="270">
        <f>+[7]BS17A!$U1205</f>
        <v>199900</v>
      </c>
      <c r="E183" s="345">
        <f>+[7]BS17A!$V1205</f>
        <v>0</v>
      </c>
      <c r="F183" s="262"/>
    </row>
    <row r="184" spans="1:6" ht="24.75" customHeight="1" x14ac:dyDescent="0.2">
      <c r="A184" s="457" t="s">
        <v>266</v>
      </c>
      <c r="B184" s="461" t="s">
        <v>267</v>
      </c>
      <c r="C184" s="380">
        <f>+[7]BS17A!$D1206</f>
        <v>0</v>
      </c>
      <c r="D184" s="270">
        <f>+[7]BS17A!$U1206</f>
        <v>256770</v>
      </c>
      <c r="E184" s="345">
        <f>+[7]BS17A!$V1206</f>
        <v>0</v>
      </c>
      <c r="F184" s="262"/>
    </row>
    <row r="185" spans="1:6" ht="24.75" customHeight="1" x14ac:dyDescent="0.2">
      <c r="A185" s="457" t="s">
        <v>268</v>
      </c>
      <c r="B185" s="461" t="s">
        <v>269</v>
      </c>
      <c r="C185" s="380">
        <f>+[7]BS17A!$D1207</f>
        <v>0</v>
      </c>
      <c r="D185" s="270">
        <f>+[7]BS17A!$U1207</f>
        <v>262730</v>
      </c>
      <c r="E185" s="345">
        <f>+[7]BS17A!$V1207</f>
        <v>0</v>
      </c>
      <c r="F185" s="262"/>
    </row>
    <row r="186" spans="1:6" ht="24.75" customHeight="1" x14ac:dyDescent="0.2">
      <c r="A186" s="457" t="s">
        <v>270</v>
      </c>
      <c r="B186" s="461" t="s">
        <v>271</v>
      </c>
      <c r="C186" s="380">
        <f>+[7]BS17A!$D1208</f>
        <v>0</v>
      </c>
      <c r="D186" s="270">
        <f>+[7]BS17A!$U1208</f>
        <v>222180</v>
      </c>
      <c r="E186" s="345">
        <f>+[7]BS17A!$V1208</f>
        <v>0</v>
      </c>
      <c r="F186" s="262"/>
    </row>
    <row r="187" spans="1:6" ht="12.75" customHeight="1" x14ac:dyDescent="0.2">
      <c r="A187" s="457" t="s">
        <v>272</v>
      </c>
      <c r="B187" s="461" t="s">
        <v>273</v>
      </c>
      <c r="C187" s="380">
        <f>+[7]BS17A!$D1209</f>
        <v>0</v>
      </c>
      <c r="D187" s="270">
        <f>+[7]BS17A!$U1209</f>
        <v>237160</v>
      </c>
      <c r="E187" s="345">
        <f>+[7]BS17A!$V1209</f>
        <v>0</v>
      </c>
      <c r="F187" s="262"/>
    </row>
    <row r="188" spans="1:6" ht="12.75" customHeight="1" x14ac:dyDescent="0.2">
      <c r="A188" s="457" t="s">
        <v>274</v>
      </c>
      <c r="B188" s="461" t="s">
        <v>275</v>
      </c>
      <c r="C188" s="380">
        <f>+[7]BS17A!$D1210</f>
        <v>0</v>
      </c>
      <c r="D188" s="270">
        <f>+[7]BS17A!$U1210</f>
        <v>283580</v>
      </c>
      <c r="E188" s="345">
        <f>+[7]BS17A!$V1210</f>
        <v>0</v>
      </c>
      <c r="F188" s="262"/>
    </row>
    <row r="189" spans="1:6" ht="24.75" customHeight="1" x14ac:dyDescent="0.2">
      <c r="A189" s="457" t="s">
        <v>276</v>
      </c>
      <c r="B189" s="460" t="s">
        <v>277</v>
      </c>
      <c r="C189" s="380">
        <f>+[7]BS17A!$D1211</f>
        <v>0</v>
      </c>
      <c r="D189" s="270">
        <f>+[7]BS17A!$U1211</f>
        <v>251470</v>
      </c>
      <c r="E189" s="345">
        <f>+[7]BS17A!$V1211</f>
        <v>0</v>
      </c>
      <c r="F189" s="262"/>
    </row>
    <row r="190" spans="1:6" ht="24.75" customHeight="1" x14ac:dyDescent="0.2">
      <c r="A190" s="457" t="s">
        <v>278</v>
      </c>
      <c r="B190" s="461" t="s">
        <v>279</v>
      </c>
      <c r="C190" s="380">
        <f>+[7]BS17A!$D1212</f>
        <v>0</v>
      </c>
      <c r="D190" s="270">
        <f>+[7]BS17A!$U1212</f>
        <v>1840310</v>
      </c>
      <c r="E190" s="345">
        <f>+[7]BS17A!$V1212</f>
        <v>0</v>
      </c>
      <c r="F190" s="262"/>
    </row>
    <row r="191" spans="1:6" ht="12.75" customHeight="1" x14ac:dyDescent="0.2">
      <c r="A191" s="457" t="s">
        <v>280</v>
      </c>
      <c r="B191" s="461" t="s">
        <v>281</v>
      </c>
      <c r="C191" s="380">
        <f>+[7]BS17A!$D1213</f>
        <v>0</v>
      </c>
      <c r="D191" s="270">
        <f>+[7]BS17A!$U1213</f>
        <v>1149460</v>
      </c>
      <c r="E191" s="345">
        <f>+[7]BS17A!$V1213</f>
        <v>0</v>
      </c>
      <c r="F191" s="262"/>
    </row>
    <row r="192" spans="1:6" ht="12.75" customHeight="1" x14ac:dyDescent="0.2">
      <c r="A192" s="435" t="s">
        <v>282</v>
      </c>
      <c r="B192" s="461" t="s">
        <v>283</v>
      </c>
      <c r="C192" s="380">
        <f>+[7]BS17A!$D1214</f>
        <v>0</v>
      </c>
      <c r="D192" s="270">
        <f>+[7]BS17A!$U1214</f>
        <v>1112540</v>
      </c>
      <c r="E192" s="345">
        <f>+[7]BS17A!$V1214</f>
        <v>0</v>
      </c>
      <c r="F192" s="262"/>
    </row>
    <row r="193" spans="1:6" ht="24.75" customHeight="1" x14ac:dyDescent="0.2">
      <c r="A193" s="457" t="s">
        <v>284</v>
      </c>
      <c r="B193" s="461" t="s">
        <v>285</v>
      </c>
      <c r="C193" s="380">
        <f>+[7]BS17A!$D1215</f>
        <v>0</v>
      </c>
      <c r="D193" s="270">
        <f>+[7]BS17A!$U1215</f>
        <v>1165530</v>
      </c>
      <c r="E193" s="345">
        <f>+[7]BS17A!$V1215</f>
        <v>0</v>
      </c>
      <c r="F193" s="262"/>
    </row>
    <row r="194" spans="1:6" ht="12.75" customHeight="1" x14ac:dyDescent="0.2">
      <c r="A194" s="435" t="s">
        <v>286</v>
      </c>
      <c r="B194" s="461" t="s">
        <v>287</v>
      </c>
      <c r="C194" s="380">
        <f>+[7]BS17A!$D1216</f>
        <v>0</v>
      </c>
      <c r="D194" s="270">
        <f>+[7]BS17A!$U1216</f>
        <v>164930</v>
      </c>
      <c r="E194" s="345">
        <f>+[7]BS17A!$V1216</f>
        <v>0</v>
      </c>
      <c r="F194" s="262"/>
    </row>
    <row r="195" spans="1:6" ht="12.75" customHeight="1" x14ac:dyDescent="0.2">
      <c r="A195" s="435" t="s">
        <v>288</v>
      </c>
      <c r="B195" s="461" t="s">
        <v>289</v>
      </c>
      <c r="C195" s="380">
        <f>+[7]BS17A!$D1217</f>
        <v>0</v>
      </c>
      <c r="D195" s="270">
        <f>+[7]BS17A!$U1217</f>
        <v>376370</v>
      </c>
      <c r="E195" s="345">
        <f>+[7]BS17A!$V1217</f>
        <v>0</v>
      </c>
      <c r="F195" s="262"/>
    </row>
    <row r="196" spans="1:6" ht="12.75" customHeight="1" x14ac:dyDescent="0.2">
      <c r="A196" s="457" t="s">
        <v>290</v>
      </c>
      <c r="B196" s="461" t="s">
        <v>291</v>
      </c>
      <c r="C196" s="380">
        <f>+[7]BS17A!$D1218</f>
        <v>0</v>
      </c>
      <c r="D196" s="270">
        <f>+[7]BS17A!$U1218</f>
        <v>139530</v>
      </c>
      <c r="E196" s="345">
        <f>+[7]BS17A!$V1218</f>
        <v>0</v>
      </c>
      <c r="F196" s="262"/>
    </row>
    <row r="197" spans="1:6" ht="12.75" customHeight="1" x14ac:dyDescent="0.2">
      <c r="A197" s="457" t="s">
        <v>292</v>
      </c>
      <c r="B197" s="461" t="s">
        <v>293</v>
      </c>
      <c r="C197" s="380">
        <f>+[7]BS17A!$D1219</f>
        <v>0</v>
      </c>
      <c r="D197" s="270">
        <f>+[7]BS17A!$U1219</f>
        <v>1130520</v>
      </c>
      <c r="E197" s="345">
        <f>+[7]BS17A!$V1219</f>
        <v>0</v>
      </c>
      <c r="F197" s="262"/>
    </row>
    <row r="198" spans="1:6" ht="12.75" customHeight="1" x14ac:dyDescent="0.2">
      <c r="A198" s="457" t="s">
        <v>294</v>
      </c>
      <c r="B198" s="461" t="s">
        <v>295</v>
      </c>
      <c r="C198" s="380">
        <f>+[7]BS17A!$D1220</f>
        <v>0</v>
      </c>
      <c r="D198" s="270">
        <f>+[7]BS17A!$U1220</f>
        <v>1130520</v>
      </c>
      <c r="E198" s="345">
        <f>+[7]BS17A!$V1220</f>
        <v>0</v>
      </c>
      <c r="F198" s="262"/>
    </row>
    <row r="199" spans="1:6" ht="12.75" customHeight="1" x14ac:dyDescent="0.2">
      <c r="A199" s="457">
        <v>1801001</v>
      </c>
      <c r="B199" s="459" t="s">
        <v>296</v>
      </c>
      <c r="C199" s="380">
        <f>+[7]BS17A!$D1354</f>
        <v>62</v>
      </c>
      <c r="D199" s="270">
        <f>+[7]BS17A!$U1354</f>
        <v>33720</v>
      </c>
      <c r="E199" s="345">
        <f>+[7]BS17A!$V1354</f>
        <v>2090640</v>
      </c>
      <c r="F199" s="262"/>
    </row>
    <row r="200" spans="1:6" ht="12.75" customHeight="1" x14ac:dyDescent="0.2">
      <c r="A200" s="457">
        <v>1801003</v>
      </c>
      <c r="B200" s="461" t="s">
        <v>297</v>
      </c>
      <c r="C200" s="380">
        <f>+[7]BS17A!$D1355</f>
        <v>0</v>
      </c>
      <c r="D200" s="270">
        <f>+[7]BS17A!$U1355</f>
        <v>40670</v>
      </c>
      <c r="E200" s="345">
        <f>+[7]BS17A!$V1355</f>
        <v>0</v>
      </c>
      <c r="F200" s="262"/>
    </row>
    <row r="201" spans="1:6" ht="12.75" customHeight="1" x14ac:dyDescent="0.2">
      <c r="A201" s="457">
        <v>1801006</v>
      </c>
      <c r="B201" s="459" t="s">
        <v>298</v>
      </c>
      <c r="C201" s="380">
        <f>+[7]BS17A!$D1356</f>
        <v>10</v>
      </c>
      <c r="D201" s="270">
        <f>+[7]BS17A!$U1356</f>
        <v>43320</v>
      </c>
      <c r="E201" s="345">
        <f>+[7]BS17A!$V1356</f>
        <v>433200</v>
      </c>
      <c r="F201" s="262"/>
    </row>
    <row r="202" spans="1:6" ht="24.75" customHeight="1" x14ac:dyDescent="0.2">
      <c r="A202" s="457" t="s">
        <v>299</v>
      </c>
      <c r="B202" s="459" t="s">
        <v>300</v>
      </c>
      <c r="C202" s="380">
        <f>[7]BS17A!D1036</f>
        <v>2</v>
      </c>
      <c r="D202" s="270">
        <f>[7]BS17A!U1036</f>
        <v>9120</v>
      </c>
      <c r="E202" s="345">
        <f>[7]BS17A!V1036</f>
        <v>18240</v>
      </c>
      <c r="F202" s="262"/>
    </row>
    <row r="203" spans="1:6" ht="24.75" customHeight="1" x14ac:dyDescent="0.2">
      <c r="A203" s="464" t="s">
        <v>301</v>
      </c>
      <c r="B203" s="462" t="s">
        <v>302</v>
      </c>
      <c r="C203" s="417">
        <f>[7]BS17A!D807</f>
        <v>0</v>
      </c>
      <c r="D203" s="355">
        <f>[7]BS17A!U807</f>
        <v>386950</v>
      </c>
      <c r="E203" s="356">
        <f>[7]BS17A!V807</f>
        <v>0</v>
      </c>
      <c r="F203" s="262"/>
    </row>
    <row r="204" spans="1:6" ht="17.25" customHeight="1" x14ac:dyDescent="0.2">
      <c r="A204" s="442"/>
      <c r="B204" s="441" t="s">
        <v>303</v>
      </c>
      <c r="C204" s="279">
        <f>SUM(C173:C203)</f>
        <v>923</v>
      </c>
      <c r="D204" s="348"/>
      <c r="E204" s="349">
        <f>SUM(E173:E203)</f>
        <v>13728790</v>
      </c>
      <c r="F204" s="262"/>
    </row>
    <row r="205" spans="1:6" ht="21.75" customHeight="1" x14ac:dyDescent="0.2">
      <c r="A205" s="262"/>
      <c r="B205" s="262"/>
      <c r="C205" s="262"/>
      <c r="D205" s="262"/>
      <c r="E205" s="262"/>
      <c r="F205" s="262"/>
    </row>
    <row r="206" spans="1:6" ht="19.5" customHeight="1" x14ac:dyDescent="0.2">
      <c r="A206" s="262"/>
      <c r="B206" s="262"/>
      <c r="C206" s="262"/>
      <c r="D206" s="262"/>
      <c r="E206" s="262"/>
      <c r="F206" s="262"/>
    </row>
    <row r="207" spans="1:6" ht="18" customHeight="1" x14ac:dyDescent="0.2">
      <c r="A207" s="583" t="s">
        <v>304</v>
      </c>
      <c r="B207" s="584"/>
      <c r="C207" s="584"/>
      <c r="D207" s="584"/>
      <c r="E207" s="585"/>
      <c r="F207" s="259"/>
    </row>
    <row r="208" spans="1:6" ht="39.75" customHeight="1" x14ac:dyDescent="0.2">
      <c r="A208" s="264" t="s">
        <v>8</v>
      </c>
      <c r="B208" s="264" t="s">
        <v>9</v>
      </c>
      <c r="C208" s="495" t="s">
        <v>10</v>
      </c>
      <c r="D208" s="310" t="s">
        <v>11</v>
      </c>
      <c r="E208" s="497" t="s">
        <v>12</v>
      </c>
      <c r="F208" s="259"/>
    </row>
    <row r="209" spans="1:6" ht="12.75" customHeight="1" x14ac:dyDescent="0.2">
      <c r="A209" s="434" t="s">
        <v>305</v>
      </c>
      <c r="B209" s="451" t="s">
        <v>306</v>
      </c>
      <c r="C209" s="383">
        <f>+[7]BS17A!$D18</f>
        <v>0</v>
      </c>
      <c r="D209" s="275">
        <f>+[7]BS17A!$U18</f>
        <v>14110</v>
      </c>
      <c r="E209" s="344">
        <f>+[7]BS17A!$V18</f>
        <v>0</v>
      </c>
      <c r="F209" s="262"/>
    </row>
    <row r="210" spans="1:6" ht="12.75" customHeight="1" x14ac:dyDescent="0.2">
      <c r="A210" s="435" t="s">
        <v>307</v>
      </c>
      <c r="B210" s="431" t="s">
        <v>308</v>
      </c>
      <c r="C210" s="380">
        <f>+[7]BS17A!$D19</f>
        <v>53</v>
      </c>
      <c r="D210" s="270">
        <f>+[7]BS17A!$U19</f>
        <v>14110</v>
      </c>
      <c r="E210" s="345">
        <f>+[7]BS17A!$V19</f>
        <v>747830</v>
      </c>
      <c r="F210" s="262"/>
    </row>
    <row r="211" spans="1:6" ht="12.75" customHeight="1" x14ac:dyDescent="0.2">
      <c r="A211" s="435" t="s">
        <v>309</v>
      </c>
      <c r="B211" s="430" t="s">
        <v>310</v>
      </c>
      <c r="C211" s="380">
        <f>+[7]BS17A!$D47</f>
        <v>0</v>
      </c>
      <c r="D211" s="270">
        <f>+[7]BS17A!$U47</f>
        <v>1350</v>
      </c>
      <c r="E211" s="345">
        <f>+[7]BS17A!$V47</f>
        <v>0</v>
      </c>
      <c r="F211" s="262"/>
    </row>
    <row r="212" spans="1:6" ht="12.75" customHeight="1" x14ac:dyDescent="0.2">
      <c r="A212" s="435" t="s">
        <v>311</v>
      </c>
      <c r="B212" s="430" t="s">
        <v>312</v>
      </c>
      <c r="C212" s="380">
        <f>+[7]BS17A!$D48</f>
        <v>474</v>
      </c>
      <c r="D212" s="270">
        <f>+[7]BS17A!$U48</f>
        <v>660</v>
      </c>
      <c r="E212" s="345">
        <f>+[7]BS17A!$V48</f>
        <v>312840</v>
      </c>
      <c r="F212" s="262"/>
    </row>
    <row r="213" spans="1:6" ht="12.75" customHeight="1" x14ac:dyDescent="0.2">
      <c r="A213" s="435" t="s">
        <v>313</v>
      </c>
      <c r="B213" s="431" t="s">
        <v>314</v>
      </c>
      <c r="C213" s="380">
        <f>+[7]BS17A!$D49</f>
        <v>475</v>
      </c>
      <c r="D213" s="270">
        <f>+[7]BS17A!$U49</f>
        <v>2000</v>
      </c>
      <c r="E213" s="345">
        <f>+[7]BS17A!$V49</f>
        <v>950000</v>
      </c>
      <c r="F213" s="262"/>
    </row>
    <row r="214" spans="1:6" ht="12.75" customHeight="1" x14ac:dyDescent="0.2">
      <c r="A214" s="435" t="s">
        <v>315</v>
      </c>
      <c r="B214" s="431" t="s">
        <v>316</v>
      </c>
      <c r="C214" s="380">
        <f>+[7]BS17A!$D50</f>
        <v>55</v>
      </c>
      <c r="D214" s="270">
        <f>+[7]BS17A!$U50</f>
        <v>15030</v>
      </c>
      <c r="E214" s="345">
        <f>+[7]BS17A!$V50</f>
        <v>826650</v>
      </c>
      <c r="F214" s="262"/>
    </row>
    <row r="215" spans="1:6" ht="12.75" customHeight="1" x14ac:dyDescent="0.2">
      <c r="A215" s="435" t="s">
        <v>317</v>
      </c>
      <c r="B215" s="430" t="s">
        <v>318</v>
      </c>
      <c r="C215" s="380">
        <f>+[7]BS17A!$D51</f>
        <v>96</v>
      </c>
      <c r="D215" s="270">
        <f>+[7]BS17A!$U51</f>
        <v>34510</v>
      </c>
      <c r="E215" s="345">
        <f>+[7]BS17A!$V51</f>
        <v>3312960</v>
      </c>
      <c r="F215" s="262"/>
    </row>
    <row r="216" spans="1:6" ht="12.75" customHeight="1" x14ac:dyDescent="0.2">
      <c r="A216" s="457" t="s">
        <v>319</v>
      </c>
      <c r="B216" s="430" t="s">
        <v>320</v>
      </c>
      <c r="C216" s="380">
        <f>+[7]BS17A!D52</f>
        <v>25</v>
      </c>
      <c r="D216" s="357"/>
      <c r="E216" s="345">
        <f>+[7]BS17A!V52</f>
        <v>215250</v>
      </c>
      <c r="F216" s="262"/>
    </row>
    <row r="217" spans="1:6" ht="12.75" customHeight="1" x14ac:dyDescent="0.2">
      <c r="A217" s="436" t="s">
        <v>321</v>
      </c>
      <c r="B217" s="432" t="s">
        <v>322</v>
      </c>
      <c r="C217" s="395">
        <f>+[7]BS17A!$D1861</f>
        <v>47</v>
      </c>
      <c r="D217" s="277">
        <f>+[7]BS17A!$U1861</f>
        <v>27970</v>
      </c>
      <c r="E217" s="350">
        <f>+[7]BS17A!$V1861</f>
        <v>1314590</v>
      </c>
      <c r="F217" s="262"/>
    </row>
    <row r="218" spans="1:6" ht="12.75" x14ac:dyDescent="0.2">
      <c r="A218" s="442"/>
      <c r="B218" s="441" t="s">
        <v>323</v>
      </c>
      <c r="C218" s="279">
        <f>SUM(C209:C217)</f>
        <v>1225</v>
      </c>
      <c r="D218" s="348"/>
      <c r="E218" s="356">
        <f>SUM(E209:E217)</f>
        <v>7680120</v>
      </c>
      <c r="F218" s="262"/>
    </row>
    <row r="219" spans="1:6" ht="17.25" customHeight="1" x14ac:dyDescent="0.2">
      <c r="A219" s="262"/>
      <c r="B219" s="262"/>
      <c r="C219" s="262"/>
      <c r="D219" s="262"/>
      <c r="E219" s="262"/>
      <c r="F219" s="262"/>
    </row>
    <row r="220" spans="1:6" ht="18" customHeight="1" x14ac:dyDescent="0.2">
      <c r="A220" s="262"/>
      <c r="B220" s="262"/>
      <c r="C220" s="262"/>
      <c r="D220" s="262"/>
      <c r="E220" s="262"/>
      <c r="F220" s="262"/>
    </row>
    <row r="221" spans="1:6" ht="27.75" customHeight="1" x14ac:dyDescent="0.2">
      <c r="A221" s="605" t="s">
        <v>324</v>
      </c>
      <c r="B221" s="606"/>
      <c r="C221" s="607"/>
      <c r="D221" s="262"/>
      <c r="E221" s="262"/>
      <c r="F221" s="259"/>
    </row>
    <row r="222" spans="1:6" ht="42.75" customHeight="1" x14ac:dyDescent="0.2">
      <c r="A222" s="264" t="s">
        <v>8</v>
      </c>
      <c r="B222" s="264" t="s">
        <v>10</v>
      </c>
      <c r="C222" s="264" t="s">
        <v>12</v>
      </c>
      <c r="D222" s="259"/>
      <c r="E222" s="262"/>
      <c r="F222" s="262"/>
    </row>
    <row r="223" spans="1:6" ht="15" customHeight="1" x14ac:dyDescent="0.2">
      <c r="A223" s="434" t="s">
        <v>325</v>
      </c>
      <c r="B223" s="452" t="s">
        <v>326</v>
      </c>
      <c r="C223" s="358"/>
      <c r="D223" s="359"/>
      <c r="E223" s="262"/>
      <c r="F223" s="262"/>
    </row>
    <row r="224" spans="1:6" ht="15" customHeight="1" x14ac:dyDescent="0.2">
      <c r="A224" s="455" t="s">
        <v>327</v>
      </c>
      <c r="B224" s="453" t="s">
        <v>328</v>
      </c>
      <c r="C224" s="360"/>
      <c r="D224" s="359"/>
      <c r="E224" s="262"/>
      <c r="F224" s="262"/>
    </row>
    <row r="225" spans="1:7" ht="18" customHeight="1" x14ac:dyDescent="0.2">
      <c r="A225" s="456"/>
      <c r="B225" s="454" t="s">
        <v>329</v>
      </c>
      <c r="C225" s="416">
        <f>SUM(C223:C224)</f>
        <v>0</v>
      </c>
      <c r="D225" s="359"/>
      <c r="E225" s="262"/>
      <c r="F225" s="262"/>
    </row>
    <row r="226" spans="1:7" ht="18" customHeight="1" x14ac:dyDescent="0.2">
      <c r="A226" s="262"/>
      <c r="B226" s="262"/>
      <c r="C226" s="262"/>
      <c r="D226" s="359"/>
      <c r="E226" s="359"/>
      <c r="F226" s="359"/>
    </row>
    <row r="227" spans="1:7" ht="18" customHeight="1" x14ac:dyDescent="0.2">
      <c r="A227" s="262"/>
      <c r="B227" s="262"/>
      <c r="C227" s="262"/>
      <c r="D227" s="262"/>
      <c r="E227" s="262"/>
      <c r="F227" s="359"/>
      <c r="G227" s="361"/>
    </row>
    <row r="228" spans="1:7" ht="18" customHeight="1" x14ac:dyDescent="0.2">
      <c r="A228" s="583" t="s">
        <v>330</v>
      </c>
      <c r="B228" s="584"/>
      <c r="C228" s="584"/>
      <c r="D228" s="584"/>
      <c r="E228" s="585"/>
      <c r="F228" s="359"/>
      <c r="G228" s="361"/>
    </row>
    <row r="229" spans="1:7" ht="56.25" customHeight="1" x14ac:dyDescent="0.2">
      <c r="A229" s="264" t="s">
        <v>8</v>
      </c>
      <c r="B229" s="264" t="s">
        <v>9</v>
      </c>
      <c r="C229" s="495" t="s">
        <v>10</v>
      </c>
      <c r="D229" s="310" t="s">
        <v>11</v>
      </c>
      <c r="E229" s="497" t="s">
        <v>12</v>
      </c>
      <c r="F229" s="359"/>
      <c r="G229" s="361"/>
    </row>
    <row r="230" spans="1:7" ht="15" customHeight="1" x14ac:dyDescent="0.2">
      <c r="A230" s="434" t="s">
        <v>331</v>
      </c>
      <c r="B230" s="451" t="s">
        <v>332</v>
      </c>
      <c r="C230" s="414">
        <f>+[7]BS17A!$D1941</f>
        <v>425</v>
      </c>
      <c r="D230" s="275">
        <f>+[7]BS17A!$U1941</f>
        <v>19310</v>
      </c>
      <c r="E230" s="344">
        <f>+[7]BS17A!$V1941</f>
        <v>8206750</v>
      </c>
      <c r="F230" s="262"/>
    </row>
    <row r="231" spans="1:7" ht="15" customHeight="1" x14ac:dyDescent="0.2">
      <c r="A231" s="436" t="s">
        <v>333</v>
      </c>
      <c r="B231" s="432" t="s">
        <v>334</v>
      </c>
      <c r="C231" s="415">
        <f>+[7]BS17A!$D1942</f>
        <v>0</v>
      </c>
      <c r="D231" s="277">
        <f>+[7]BS17A!$U1942</f>
        <v>242060</v>
      </c>
      <c r="E231" s="350">
        <f>+[7]BS17A!$V1942</f>
        <v>0</v>
      </c>
      <c r="F231" s="262"/>
    </row>
    <row r="232" spans="1:7" ht="18" customHeight="1" x14ac:dyDescent="0.2">
      <c r="A232" s="442"/>
      <c r="B232" s="441" t="s">
        <v>335</v>
      </c>
      <c r="C232" s="279">
        <f>SUM(C230:C231)</f>
        <v>425</v>
      </c>
      <c r="D232" s="348"/>
      <c r="E232" s="349">
        <f>SUM(E230:E231)</f>
        <v>8206750</v>
      </c>
      <c r="F232" s="262"/>
    </row>
    <row r="233" spans="1:7" ht="18" customHeight="1" x14ac:dyDescent="0.2">
      <c r="A233" s="362"/>
      <c r="B233" s="363"/>
      <c r="C233" s="364"/>
      <c r="D233" s="362"/>
      <c r="E233" s="362"/>
      <c r="F233" s="262"/>
    </row>
    <row r="234" spans="1:7" ht="18" customHeight="1" x14ac:dyDescent="0.2">
      <c r="A234" s="362"/>
      <c r="B234" s="363"/>
      <c r="C234" s="364"/>
      <c r="D234" s="362"/>
      <c r="E234" s="362"/>
      <c r="F234" s="262"/>
    </row>
    <row r="235" spans="1:7" ht="18" customHeight="1" x14ac:dyDescent="0.2">
      <c r="A235" s="591" t="s">
        <v>336</v>
      </c>
      <c r="B235" s="584"/>
      <c r="C235" s="584"/>
      <c r="D235" s="584"/>
      <c r="E235" s="585"/>
      <c r="F235" s="262"/>
    </row>
    <row r="236" spans="1:7" ht="41.25" customHeight="1" x14ac:dyDescent="0.2">
      <c r="A236" s="264" t="s">
        <v>8</v>
      </c>
      <c r="B236" s="264" t="s">
        <v>9</v>
      </c>
      <c r="C236" s="495" t="s">
        <v>10</v>
      </c>
      <c r="D236" s="310" t="s">
        <v>11</v>
      </c>
      <c r="E236" s="497" t="s">
        <v>12</v>
      </c>
      <c r="F236" s="262"/>
    </row>
    <row r="237" spans="1:7" ht="18" customHeight="1" x14ac:dyDescent="0.2">
      <c r="A237" s="341" t="s">
        <v>337</v>
      </c>
      <c r="B237" s="287" t="s">
        <v>338</v>
      </c>
      <c r="C237" s="365">
        <f>[7]BS17A!D768</f>
        <v>584</v>
      </c>
      <c r="D237" s="366"/>
      <c r="E237" s="367">
        <f>[7]BS17A!V768</f>
        <v>3870320</v>
      </c>
      <c r="F237" s="262"/>
    </row>
    <row r="238" spans="1:7" ht="18" customHeight="1" x14ac:dyDescent="0.2">
      <c r="A238" s="362"/>
      <c r="B238" s="363"/>
      <c r="C238" s="364"/>
      <c r="D238" s="362"/>
      <c r="E238" s="362"/>
      <c r="F238" s="262"/>
    </row>
    <row r="239" spans="1:7" ht="18" customHeight="1" x14ac:dyDescent="0.2">
      <c r="A239" s="591" t="s">
        <v>339</v>
      </c>
      <c r="B239" s="592"/>
      <c r="C239" s="592"/>
      <c r="D239" s="592"/>
      <c r="E239" s="593"/>
      <c r="F239" s="262"/>
    </row>
    <row r="240" spans="1:7" ht="43.5" customHeight="1" x14ac:dyDescent="0.2">
      <c r="A240" s="264" t="s">
        <v>8</v>
      </c>
      <c r="B240" s="495" t="s">
        <v>340</v>
      </c>
      <c r="C240" s="309" t="s">
        <v>341</v>
      </c>
      <c r="D240" s="310" t="s">
        <v>11</v>
      </c>
      <c r="E240" s="497" t="s">
        <v>12</v>
      </c>
      <c r="F240" s="262"/>
    </row>
    <row r="241" spans="1:6" ht="15" customHeight="1" x14ac:dyDescent="0.2">
      <c r="A241" s="274" t="s">
        <v>342</v>
      </c>
      <c r="B241" s="397" t="s">
        <v>343</v>
      </c>
      <c r="C241" s="383">
        <f>+[7]BS17A!$D1944</f>
        <v>0</v>
      </c>
      <c r="D241" s="275">
        <f>+[7]BS17A!$U1944</f>
        <v>247230</v>
      </c>
      <c r="E241" s="344">
        <f>+[7]BS17A!$V1944</f>
        <v>0</v>
      </c>
      <c r="F241" s="262"/>
    </row>
    <row r="242" spans="1:6" ht="15" customHeight="1" x14ac:dyDescent="0.2">
      <c r="A242" s="269" t="s">
        <v>344</v>
      </c>
      <c r="B242" s="398" t="s">
        <v>345</v>
      </c>
      <c r="C242" s="380">
        <f>+[7]BS17A!$D1945</f>
        <v>0</v>
      </c>
      <c r="D242" s="270">
        <f>+[7]BS17A!$U1945</f>
        <v>35130</v>
      </c>
      <c r="E242" s="345">
        <f>+[7]BS17A!$V1945</f>
        <v>0</v>
      </c>
      <c r="F242" s="262"/>
    </row>
    <row r="243" spans="1:6" ht="15" customHeight="1" x14ac:dyDescent="0.2">
      <c r="A243" s="269" t="s">
        <v>346</v>
      </c>
      <c r="B243" s="398" t="s">
        <v>347</v>
      </c>
      <c r="C243" s="380">
        <f>+[7]BS17A!$D1946</f>
        <v>0</v>
      </c>
      <c r="D243" s="270">
        <f>+[7]BS17A!$U1946</f>
        <v>132520</v>
      </c>
      <c r="E243" s="345">
        <f>+[7]BS17A!$V1946</f>
        <v>0</v>
      </c>
      <c r="F243" s="262"/>
    </row>
    <row r="244" spans="1:6" ht="15" customHeight="1" x14ac:dyDescent="0.2">
      <c r="A244" s="269" t="s">
        <v>348</v>
      </c>
      <c r="B244" s="398" t="s">
        <v>349</v>
      </c>
      <c r="C244" s="380">
        <f>+[7]BS17A!$D1947</f>
        <v>0</v>
      </c>
      <c r="D244" s="270">
        <f>+[7]BS17A!$U1947</f>
        <v>132520</v>
      </c>
      <c r="E244" s="345">
        <f>+[7]BS17A!$V1947</f>
        <v>0</v>
      </c>
      <c r="F244" s="262"/>
    </row>
    <row r="245" spans="1:6" ht="15" customHeight="1" x14ac:dyDescent="0.2">
      <c r="A245" s="269" t="s">
        <v>350</v>
      </c>
      <c r="B245" s="398" t="s">
        <v>351</v>
      </c>
      <c r="C245" s="380">
        <f>+[7]BS17A!$D1948</f>
        <v>0</v>
      </c>
      <c r="D245" s="270">
        <f>+[7]BS17A!$U1948</f>
        <v>241260</v>
      </c>
      <c r="E245" s="345">
        <f>+[7]BS17A!$V1948</f>
        <v>0</v>
      </c>
      <c r="F245" s="262"/>
    </row>
    <row r="246" spans="1:6" ht="15" customHeight="1" x14ac:dyDescent="0.2">
      <c r="A246" s="269" t="s">
        <v>352</v>
      </c>
      <c r="B246" s="398" t="s">
        <v>353</v>
      </c>
      <c r="C246" s="380">
        <f>+[7]BS17A!$D1949</f>
        <v>0</v>
      </c>
      <c r="D246" s="270">
        <f>+[7]BS17A!$U1949</f>
        <v>370240</v>
      </c>
      <c r="E246" s="345">
        <f>+[7]BS17A!$V1949</f>
        <v>0</v>
      </c>
      <c r="F246" s="262"/>
    </row>
    <row r="247" spans="1:6" ht="15" customHeight="1" x14ac:dyDescent="0.2">
      <c r="A247" s="269" t="s">
        <v>354</v>
      </c>
      <c r="B247" s="398" t="s">
        <v>355</v>
      </c>
      <c r="C247" s="380">
        <f>+[7]BS17A!$D1950</f>
        <v>0</v>
      </c>
      <c r="D247" s="270">
        <f>+[7]BS17A!$U1950</f>
        <v>631610</v>
      </c>
      <c r="E247" s="345">
        <f>+[7]BS17A!$V1950</f>
        <v>0</v>
      </c>
      <c r="F247" s="262"/>
    </row>
    <row r="248" spans="1:6" ht="15" customHeight="1" x14ac:dyDescent="0.2">
      <c r="A248" s="292" t="s">
        <v>356</v>
      </c>
      <c r="B248" s="398" t="s">
        <v>357</v>
      </c>
      <c r="C248" s="380">
        <f>+[7]BS17A!$D1951</f>
        <v>0</v>
      </c>
      <c r="D248" s="270">
        <f>+[7]BS17A!$U1951</f>
        <v>131550</v>
      </c>
      <c r="E248" s="345">
        <f>+[7]BS17A!$V1951</f>
        <v>0</v>
      </c>
      <c r="F248" s="262"/>
    </row>
    <row r="249" spans="1:6" ht="15" customHeight="1" x14ac:dyDescent="0.2">
      <c r="A249" s="292" t="s">
        <v>358</v>
      </c>
      <c r="B249" s="398" t="s">
        <v>359</v>
      </c>
      <c r="C249" s="380">
        <f>+[7]BS17A!$D1952</f>
        <v>0</v>
      </c>
      <c r="D249" s="270">
        <f>+[7]BS17A!$U1952</f>
        <v>354560</v>
      </c>
      <c r="E249" s="345">
        <f>+[7]BS17A!$V1952</f>
        <v>0</v>
      </c>
      <c r="F249" s="262"/>
    </row>
    <row r="250" spans="1:6" ht="15" customHeight="1" x14ac:dyDescent="0.2">
      <c r="A250" s="292" t="s">
        <v>360</v>
      </c>
      <c r="B250" s="398" t="s">
        <v>361</v>
      </c>
      <c r="C250" s="410">
        <f>+[7]BS17A!$D1953</f>
        <v>0</v>
      </c>
      <c r="D250" s="272">
        <f>+[7]BS17A!$U1953</f>
        <v>149290</v>
      </c>
      <c r="E250" s="368">
        <f>+[7]BS17A!$V1953</f>
        <v>0</v>
      </c>
      <c r="F250" s="262"/>
    </row>
    <row r="251" spans="1:6" ht="15" customHeight="1" x14ac:dyDescent="0.2">
      <c r="A251" s="292" t="s">
        <v>362</v>
      </c>
      <c r="B251" s="398" t="s">
        <v>363</v>
      </c>
      <c r="C251" s="410">
        <f>+[7]BS17A!$D1954</f>
        <v>0</v>
      </c>
      <c r="D251" s="272">
        <f>+[7]BS17A!$U1954</f>
        <v>129730</v>
      </c>
      <c r="E251" s="368">
        <f>+[7]BS17A!$V1954</f>
        <v>0</v>
      </c>
      <c r="F251" s="262"/>
    </row>
    <row r="252" spans="1:6" ht="15" customHeight="1" x14ac:dyDescent="0.2">
      <c r="A252" s="292" t="s">
        <v>364</v>
      </c>
      <c r="B252" s="398" t="s">
        <v>365</v>
      </c>
      <c r="C252" s="410">
        <f>+[7]BS17A!$D1955</f>
        <v>0</v>
      </c>
      <c r="D252" s="272">
        <f>+[7]BS17A!$U1955</f>
        <v>197230</v>
      </c>
      <c r="E252" s="368">
        <f>+[7]BS17A!$V1955</f>
        <v>0</v>
      </c>
      <c r="F252" s="262"/>
    </row>
    <row r="253" spans="1:6" ht="15" customHeight="1" x14ac:dyDescent="0.2">
      <c r="A253" s="292" t="s">
        <v>366</v>
      </c>
      <c r="B253" s="398" t="s">
        <v>367</v>
      </c>
      <c r="C253" s="410">
        <f>+[7]BS17A!$D1956</f>
        <v>0</v>
      </c>
      <c r="D253" s="272">
        <f>+[7]BS17A!$U1956</f>
        <v>51900</v>
      </c>
      <c r="E253" s="368">
        <f>+[7]BS17A!$V1956</f>
        <v>0</v>
      </c>
      <c r="F253" s="262"/>
    </row>
    <row r="254" spans="1:6" ht="15" customHeight="1" x14ac:dyDescent="0.2">
      <c r="A254" s="327" t="s">
        <v>368</v>
      </c>
      <c r="B254" s="409" t="s">
        <v>369</v>
      </c>
      <c r="C254" s="395">
        <f>+[7]BS17A!$D1957</f>
        <v>0</v>
      </c>
      <c r="D254" s="277">
        <f>+[7]BS17A!$U1957</f>
        <v>38790</v>
      </c>
      <c r="E254" s="350">
        <f>+[7]BS17A!$V1957</f>
        <v>0</v>
      </c>
      <c r="F254" s="262"/>
    </row>
    <row r="255" spans="1:6" ht="15" customHeight="1" x14ac:dyDescent="0.2">
      <c r="A255" s="586" t="s">
        <v>370</v>
      </c>
      <c r="B255" s="587"/>
      <c r="C255" s="587"/>
      <c r="D255" s="587"/>
      <c r="E255" s="588"/>
      <c r="F255" s="262"/>
    </row>
    <row r="256" spans="1:6" ht="15" customHeight="1" x14ac:dyDescent="0.2">
      <c r="A256" s="434" t="s">
        <v>371</v>
      </c>
      <c r="B256" s="448" t="s">
        <v>343</v>
      </c>
      <c r="C256" s="383">
        <f>+[7]BS17A!$D1958</f>
        <v>0</v>
      </c>
      <c r="D256" s="275">
        <f>+[7]BS17A!$U1958</f>
        <v>212700</v>
      </c>
      <c r="E256" s="344">
        <f>+[7]BS17A!$V1958</f>
        <v>0</v>
      </c>
      <c r="F256" s="262"/>
    </row>
    <row r="257" spans="1:6" ht="15" customHeight="1" x14ac:dyDescent="0.2">
      <c r="A257" s="435" t="s">
        <v>372</v>
      </c>
      <c r="B257" s="449" t="s">
        <v>373</v>
      </c>
      <c r="C257" s="380">
        <f>+[7]BS17A!$D1959</f>
        <v>0</v>
      </c>
      <c r="D257" s="270">
        <f>+[7]BS17A!$U1959</f>
        <v>1265290</v>
      </c>
      <c r="E257" s="345">
        <f>+[7]BS17A!$V1959</f>
        <v>0</v>
      </c>
      <c r="F257" s="262"/>
    </row>
    <row r="258" spans="1:6" ht="15" customHeight="1" x14ac:dyDescent="0.2">
      <c r="A258" s="435" t="s">
        <v>374</v>
      </c>
      <c r="B258" s="449" t="s">
        <v>375</v>
      </c>
      <c r="C258" s="380">
        <f>+[7]BS17A!$D1960</f>
        <v>0</v>
      </c>
      <c r="D258" s="270">
        <f>+[7]BS17A!$U1960</f>
        <v>190900</v>
      </c>
      <c r="E258" s="345">
        <f>+[7]BS17A!$V1960</f>
        <v>0</v>
      </c>
      <c r="F258" s="262"/>
    </row>
    <row r="259" spans="1:6" ht="15" customHeight="1" x14ac:dyDescent="0.2">
      <c r="A259" s="435" t="s">
        <v>376</v>
      </c>
      <c r="B259" s="449" t="s">
        <v>377</v>
      </c>
      <c r="C259" s="380">
        <f>+[7]BS17A!$D1961</f>
        <v>0</v>
      </c>
      <c r="D259" s="270">
        <f>+[7]BS17A!$U1961</f>
        <v>168820</v>
      </c>
      <c r="E259" s="345">
        <f>+[7]BS17A!$V1961</f>
        <v>0</v>
      </c>
      <c r="F259" s="262"/>
    </row>
    <row r="260" spans="1:6" ht="15" customHeight="1" x14ac:dyDescent="0.2">
      <c r="A260" s="435" t="s">
        <v>378</v>
      </c>
      <c r="B260" s="449" t="s">
        <v>379</v>
      </c>
      <c r="C260" s="380">
        <f>+[7]BS17A!$D1962</f>
        <v>0</v>
      </c>
      <c r="D260" s="270">
        <f>+[7]BS17A!$U1962</f>
        <v>342700</v>
      </c>
      <c r="E260" s="345">
        <f>+[7]BS17A!$V1962</f>
        <v>0</v>
      </c>
      <c r="F260" s="262"/>
    </row>
    <row r="261" spans="1:6" ht="15" customHeight="1" x14ac:dyDescent="0.2">
      <c r="A261" s="435" t="s">
        <v>380</v>
      </c>
      <c r="B261" s="449" t="s">
        <v>381</v>
      </c>
      <c r="C261" s="380">
        <f>+[7]BS17A!$D1963</f>
        <v>0</v>
      </c>
      <c r="D261" s="270">
        <f>+[7]BS17A!$U1963</f>
        <v>1139590</v>
      </c>
      <c r="E261" s="345">
        <f>+[7]BS17A!$V1963</f>
        <v>0</v>
      </c>
      <c r="F261" s="262"/>
    </row>
    <row r="262" spans="1:6" ht="15" customHeight="1" x14ac:dyDescent="0.2">
      <c r="A262" s="435" t="s">
        <v>382</v>
      </c>
      <c r="B262" s="449" t="s">
        <v>383</v>
      </c>
      <c r="C262" s="380">
        <f>+[7]BS17A!$D1964</f>
        <v>0</v>
      </c>
      <c r="D262" s="270">
        <f>+[7]BS17A!$U1964</f>
        <v>1171120</v>
      </c>
      <c r="E262" s="345">
        <f>+[7]BS17A!$V1964</f>
        <v>0</v>
      </c>
      <c r="F262" s="262"/>
    </row>
    <row r="263" spans="1:6" ht="15" customHeight="1" x14ac:dyDescent="0.2">
      <c r="A263" s="435" t="s">
        <v>384</v>
      </c>
      <c r="B263" s="449" t="s">
        <v>385</v>
      </c>
      <c r="C263" s="380">
        <f>+[7]BS17A!$D1965</f>
        <v>0</v>
      </c>
      <c r="D263" s="270">
        <f>+[7]BS17A!$U1965</f>
        <v>927270</v>
      </c>
      <c r="E263" s="345">
        <f>+[7]BS17A!$V1965</f>
        <v>0</v>
      </c>
      <c r="F263" s="262"/>
    </row>
    <row r="264" spans="1:6" ht="15" customHeight="1" x14ac:dyDescent="0.2">
      <c r="A264" s="435" t="s">
        <v>386</v>
      </c>
      <c r="B264" s="449" t="s">
        <v>387</v>
      </c>
      <c r="C264" s="380">
        <f>+[7]BS17A!$D1966</f>
        <v>0</v>
      </c>
      <c r="D264" s="270">
        <f>+[7]BS17A!$U1966</f>
        <v>977250</v>
      </c>
      <c r="E264" s="345">
        <f>+[7]BS17A!$V1966</f>
        <v>0</v>
      </c>
      <c r="F264" s="262"/>
    </row>
    <row r="265" spans="1:6" ht="15" customHeight="1" x14ac:dyDescent="0.2">
      <c r="A265" s="435" t="s">
        <v>388</v>
      </c>
      <c r="B265" s="449" t="s">
        <v>389</v>
      </c>
      <c r="C265" s="380">
        <f>+[7]BS17A!$D1967</f>
        <v>0</v>
      </c>
      <c r="D265" s="270">
        <f>+[7]BS17A!$U1967</f>
        <v>385520</v>
      </c>
      <c r="E265" s="345">
        <f>+[7]BS17A!$V1967</f>
        <v>0</v>
      </c>
      <c r="F265" s="262"/>
    </row>
    <row r="266" spans="1:6" ht="15" customHeight="1" x14ac:dyDescent="0.2">
      <c r="A266" s="435" t="s">
        <v>390</v>
      </c>
      <c r="B266" s="449" t="s">
        <v>391</v>
      </c>
      <c r="C266" s="380">
        <f>+[7]BS17A!$D1968</f>
        <v>0</v>
      </c>
      <c r="D266" s="270">
        <f>+[7]BS17A!$U1968</f>
        <v>92330</v>
      </c>
      <c r="E266" s="345">
        <f>+[7]BS17A!$V1968</f>
        <v>0</v>
      </c>
      <c r="F266" s="262"/>
    </row>
    <row r="267" spans="1:6" ht="15" customHeight="1" x14ac:dyDescent="0.2">
      <c r="A267" s="435" t="s">
        <v>392</v>
      </c>
      <c r="B267" s="449" t="s">
        <v>393</v>
      </c>
      <c r="C267" s="380">
        <f>+[7]BS17A!$D1969</f>
        <v>0</v>
      </c>
      <c r="D267" s="270">
        <f>+[7]BS17A!$U1969</f>
        <v>275450</v>
      </c>
      <c r="E267" s="345">
        <f>+[7]BS17A!$V1969</f>
        <v>0</v>
      </c>
      <c r="F267" s="262"/>
    </row>
    <row r="268" spans="1:6" ht="15" customHeight="1" x14ac:dyDescent="0.2">
      <c r="A268" s="435" t="s">
        <v>394</v>
      </c>
      <c r="B268" s="431" t="s">
        <v>395</v>
      </c>
      <c r="C268" s="380">
        <f>+[7]BS17A!$D1970</f>
        <v>0</v>
      </c>
      <c r="D268" s="270">
        <f>+[7]BS17A!$U1970</f>
        <v>77880</v>
      </c>
      <c r="E268" s="345">
        <f>+[7]BS17A!$V1970</f>
        <v>0</v>
      </c>
      <c r="F268" s="262"/>
    </row>
    <row r="269" spans="1:6" ht="15" customHeight="1" x14ac:dyDescent="0.2">
      <c r="A269" s="435" t="s">
        <v>396</v>
      </c>
      <c r="B269" s="431" t="s">
        <v>397</v>
      </c>
      <c r="C269" s="380">
        <f>+[7]BS17A!$D1971</f>
        <v>0</v>
      </c>
      <c r="D269" s="270">
        <f>+[7]BS17A!$U1971</f>
        <v>1338250</v>
      </c>
      <c r="E269" s="345">
        <f>+[7]BS17A!$V1971</f>
        <v>0</v>
      </c>
      <c r="F269" s="262"/>
    </row>
    <row r="270" spans="1:6" ht="15" customHeight="1" x14ac:dyDescent="0.2">
      <c r="A270" s="435" t="s">
        <v>398</v>
      </c>
      <c r="B270" s="431" t="s">
        <v>399</v>
      </c>
      <c r="C270" s="380">
        <f>+[7]BS17A!$D1972</f>
        <v>0</v>
      </c>
      <c r="D270" s="270">
        <f>+[7]BS17A!$U1972</f>
        <v>312910</v>
      </c>
      <c r="E270" s="345">
        <f>+[7]BS17A!$V1972</f>
        <v>0</v>
      </c>
      <c r="F270" s="262"/>
    </row>
    <row r="271" spans="1:6" ht="15" customHeight="1" x14ac:dyDescent="0.2">
      <c r="A271" s="435" t="s">
        <v>400</v>
      </c>
      <c r="B271" s="431" t="s">
        <v>401</v>
      </c>
      <c r="C271" s="380">
        <f>+[7]BS17A!$D1973</f>
        <v>0</v>
      </c>
      <c r="D271" s="270">
        <f>+[7]BS17A!$U1973</f>
        <v>1048270</v>
      </c>
      <c r="E271" s="345">
        <f>+[7]BS17A!$V1973</f>
        <v>0</v>
      </c>
      <c r="F271" s="262"/>
    </row>
    <row r="272" spans="1:6" ht="15" customHeight="1" x14ac:dyDescent="0.2">
      <c r="A272" s="435" t="s">
        <v>402</v>
      </c>
      <c r="B272" s="450" t="s">
        <v>403</v>
      </c>
      <c r="C272" s="380">
        <f>+[7]BS17A!$D1974</f>
        <v>0</v>
      </c>
      <c r="D272" s="270">
        <f>+[7]BS17A!$U1974</f>
        <v>641750</v>
      </c>
      <c r="E272" s="345">
        <f>+[7]BS17A!$V1974</f>
        <v>0</v>
      </c>
      <c r="F272" s="262"/>
    </row>
    <row r="273" spans="1:10" ht="15" customHeight="1" x14ac:dyDescent="0.2">
      <c r="A273" s="436" t="s">
        <v>404</v>
      </c>
      <c r="B273" s="450" t="s">
        <v>405</v>
      </c>
      <c r="C273" s="395">
        <f>+[7]BS17A!$D1975</f>
        <v>0</v>
      </c>
      <c r="D273" s="272">
        <f>+[7]BS17A!$U1975</f>
        <v>523710</v>
      </c>
      <c r="E273" s="368">
        <f>+[7]BS17A!$V1975</f>
        <v>0</v>
      </c>
      <c r="F273" s="262"/>
    </row>
    <row r="274" spans="1:10" ht="15" customHeight="1" x14ac:dyDescent="0.2">
      <c r="A274" s="586" t="s">
        <v>406</v>
      </c>
      <c r="B274" s="587"/>
      <c r="C274" s="587"/>
      <c r="D274" s="587"/>
      <c r="E274" s="588"/>
      <c r="F274" s="262"/>
    </row>
    <row r="275" spans="1:10" ht="15" customHeight="1" x14ac:dyDescent="0.2">
      <c r="A275" s="434" t="s">
        <v>407</v>
      </c>
      <c r="B275" s="443" t="s">
        <v>408</v>
      </c>
      <c r="C275" s="412">
        <f>+[7]BS17A!$D1976</f>
        <v>0</v>
      </c>
      <c r="D275" s="267">
        <f>[7]BS17A!U1976</f>
        <v>282310</v>
      </c>
      <c r="E275" s="369">
        <f>+[7]BS17A!$V1976</f>
        <v>0</v>
      </c>
      <c r="F275" s="262"/>
    </row>
    <row r="276" spans="1:10" ht="15" customHeight="1" x14ac:dyDescent="0.2">
      <c r="A276" s="435" t="s">
        <v>409</v>
      </c>
      <c r="B276" s="431" t="s">
        <v>410</v>
      </c>
      <c r="C276" s="380">
        <f>+[7]BS17A!$D1977</f>
        <v>0</v>
      </c>
      <c r="D276" s="270">
        <f>[7]BS17A!U1977</f>
        <v>164590</v>
      </c>
      <c r="E276" s="345">
        <f>+[7]BS17A!$V1977</f>
        <v>0</v>
      </c>
      <c r="F276" s="262"/>
    </row>
    <row r="277" spans="1:10" ht="15" customHeight="1" x14ac:dyDescent="0.2">
      <c r="A277" s="435" t="s">
        <v>411</v>
      </c>
      <c r="B277" s="431" t="s">
        <v>412</v>
      </c>
      <c r="C277" s="380">
        <f>+[7]BS17A!$D1978</f>
        <v>0</v>
      </c>
      <c r="D277" s="270">
        <f>[7]BS17A!U1978</f>
        <v>397700</v>
      </c>
      <c r="E277" s="345">
        <f>+[7]BS17A!$V1978</f>
        <v>0</v>
      </c>
      <c r="F277" s="262"/>
    </row>
    <row r="278" spans="1:10" ht="15" customHeight="1" x14ac:dyDescent="0.2">
      <c r="A278" s="435" t="s">
        <v>413</v>
      </c>
      <c r="B278" s="431" t="s">
        <v>414</v>
      </c>
      <c r="C278" s="380">
        <f>+[7]BS17A!$D1979</f>
        <v>0</v>
      </c>
      <c r="D278" s="270">
        <f>[7]BS17A!U1979</f>
        <v>412140</v>
      </c>
      <c r="E278" s="345">
        <f>+[7]BS17A!$V1979</f>
        <v>0</v>
      </c>
      <c r="F278" s="262"/>
    </row>
    <row r="279" spans="1:10" ht="15" customHeight="1" x14ac:dyDescent="0.2">
      <c r="A279" s="436" t="s">
        <v>415</v>
      </c>
      <c r="B279" s="444" t="s">
        <v>416</v>
      </c>
      <c r="C279" s="395">
        <f>+[7]BS17A!$D1980</f>
        <v>0</v>
      </c>
      <c r="D279" s="277">
        <f>[7]BS17A!U1980</f>
        <v>257530</v>
      </c>
      <c r="E279" s="350">
        <f>+[7]BS17A!$V1980</f>
        <v>0</v>
      </c>
      <c r="F279" s="370"/>
    </row>
    <row r="280" spans="1:10" ht="15" customHeight="1" x14ac:dyDescent="0.2">
      <c r="A280" s="447" t="s">
        <v>417</v>
      </c>
      <c r="B280" s="445" t="s">
        <v>418</v>
      </c>
      <c r="C280" s="413">
        <f>+[7]BS17A!$D1981</f>
        <v>102</v>
      </c>
      <c r="D280" s="371">
        <f>[7]BS17A!U1981</f>
        <v>35020</v>
      </c>
      <c r="E280" s="367">
        <f>+[7]BS17A!$V1981</f>
        <v>3572040</v>
      </c>
      <c r="F280" s="370"/>
    </row>
    <row r="281" spans="1:10" ht="15" customHeight="1" x14ac:dyDescent="0.2">
      <c r="A281" s="442"/>
      <c r="B281" s="446" t="s">
        <v>419</v>
      </c>
      <c r="C281" s="279">
        <f>SUM(C241:C280)</f>
        <v>102</v>
      </c>
      <c r="D281" s="348"/>
      <c r="E281" s="349">
        <f>SUM(E241:E280)</f>
        <v>3572040</v>
      </c>
      <c r="F281" s="370"/>
    </row>
    <row r="282" spans="1:10" ht="18" customHeight="1" x14ac:dyDescent="0.2">
      <c r="A282" s="362"/>
      <c r="B282" s="262"/>
      <c r="C282" s="262"/>
      <c r="D282" s="362"/>
      <c r="E282" s="362"/>
      <c r="F282" s="262"/>
    </row>
    <row r="283" spans="1:10" ht="18" customHeight="1" x14ac:dyDescent="0.2">
      <c r="A283" s="362"/>
      <c r="B283" s="364"/>
      <c r="C283" s="364"/>
      <c r="D283" s="362"/>
      <c r="E283" s="362"/>
      <c r="F283" s="372"/>
      <c r="G283" s="373"/>
      <c r="J283" s="374"/>
    </row>
    <row r="284" spans="1:10" ht="12.75" customHeight="1" x14ac:dyDescent="0.2">
      <c r="A284" s="591" t="s">
        <v>420</v>
      </c>
      <c r="B284" s="592"/>
      <c r="C284" s="592"/>
      <c r="D284" s="592"/>
      <c r="E284" s="593"/>
      <c r="F284" s="262"/>
    </row>
    <row r="285" spans="1:10" ht="44.25" customHeight="1" x14ac:dyDescent="0.2">
      <c r="A285" s="264" t="s">
        <v>8</v>
      </c>
      <c r="B285" s="264" t="s">
        <v>420</v>
      </c>
      <c r="C285" s="495" t="s">
        <v>341</v>
      </c>
      <c r="D285" s="310" t="s">
        <v>11</v>
      </c>
      <c r="E285" s="497" t="s">
        <v>12</v>
      </c>
      <c r="F285" s="370"/>
    </row>
    <row r="286" spans="1:10" ht="15" customHeight="1" x14ac:dyDescent="0.2">
      <c r="A286" s="434" t="s">
        <v>421</v>
      </c>
      <c r="B286" s="438" t="s">
        <v>422</v>
      </c>
      <c r="C286" s="383">
        <f>+[7]BS17A!$D1983</f>
        <v>6</v>
      </c>
      <c r="D286" s="275">
        <f>+[7]BS17A!$U1983</f>
        <v>6890</v>
      </c>
      <c r="E286" s="344">
        <f>+[7]BS17A!$V1983</f>
        <v>41340</v>
      </c>
      <c r="F286" s="262"/>
    </row>
    <row r="287" spans="1:10" ht="15" customHeight="1" x14ac:dyDescent="0.2">
      <c r="A287" s="435" t="s">
        <v>423</v>
      </c>
      <c r="B287" s="439" t="s">
        <v>424</v>
      </c>
      <c r="C287" s="380">
        <f>+[7]BS17A!$D1984</f>
        <v>0</v>
      </c>
      <c r="D287" s="270">
        <f>+[7]BS17A!$U1984</f>
        <v>3670</v>
      </c>
      <c r="E287" s="345">
        <f>+[7]BS17A!$V1984</f>
        <v>0</v>
      </c>
      <c r="F287" s="262"/>
    </row>
    <row r="288" spans="1:10" ht="15" customHeight="1" x14ac:dyDescent="0.2">
      <c r="A288" s="435" t="s">
        <v>425</v>
      </c>
      <c r="B288" s="439" t="s">
        <v>426</v>
      </c>
      <c r="C288" s="380">
        <f>+[7]BS17A!$D1985</f>
        <v>1</v>
      </c>
      <c r="D288" s="270">
        <f>+[7]BS17A!$U1985</f>
        <v>13830</v>
      </c>
      <c r="E288" s="345">
        <f>+[7]BS17A!$V1985</f>
        <v>13830</v>
      </c>
      <c r="F288" s="262"/>
    </row>
    <row r="289" spans="1:7" ht="15" customHeight="1" x14ac:dyDescent="0.2">
      <c r="A289" s="435" t="s">
        <v>427</v>
      </c>
      <c r="B289" s="439" t="s">
        <v>428</v>
      </c>
      <c r="C289" s="380">
        <f>+[7]BS17A!$D1986</f>
        <v>0</v>
      </c>
      <c r="D289" s="270">
        <f>+[7]BS17A!$U1986</f>
        <v>141790</v>
      </c>
      <c r="E289" s="345">
        <f>+[7]BS17A!$V1986</f>
        <v>0</v>
      </c>
      <c r="F289" s="262"/>
    </row>
    <row r="290" spans="1:7" ht="15" customHeight="1" x14ac:dyDescent="0.2">
      <c r="A290" s="436" t="s">
        <v>429</v>
      </c>
      <c r="B290" s="440" t="s">
        <v>430</v>
      </c>
      <c r="C290" s="395">
        <f>+[7]BS17A!$D1987</f>
        <v>1</v>
      </c>
      <c r="D290" s="277">
        <f>+[7]BS17A!$U1987</f>
        <v>778770</v>
      </c>
      <c r="E290" s="350">
        <f>+[7]BS17A!$V1987</f>
        <v>778770</v>
      </c>
      <c r="F290" s="262"/>
    </row>
    <row r="291" spans="1:7" ht="15" customHeight="1" x14ac:dyDescent="0.2">
      <c r="A291" s="442"/>
      <c r="B291" s="441" t="s">
        <v>431</v>
      </c>
      <c r="C291" s="316">
        <f>SUM(C286:C290)</f>
        <v>8</v>
      </c>
      <c r="D291" s="288"/>
      <c r="E291" s="317">
        <f>SUM(E286:E290)</f>
        <v>833940</v>
      </c>
      <c r="F291" s="262"/>
    </row>
    <row r="292" spans="1:7" ht="18" customHeight="1" x14ac:dyDescent="0.2">
      <c r="A292" s="362"/>
      <c r="B292" s="364"/>
      <c r="C292" s="362"/>
      <c r="D292" s="362"/>
      <c r="E292" s="362"/>
      <c r="F292" s="262"/>
    </row>
    <row r="293" spans="1:7" ht="18" customHeight="1" x14ac:dyDescent="0.2">
      <c r="A293" s="362"/>
      <c r="B293" s="364"/>
      <c r="C293" s="362"/>
      <c r="D293" s="362"/>
      <c r="E293" s="362"/>
      <c r="F293" s="375"/>
      <c r="G293" s="263"/>
    </row>
    <row r="294" spans="1:7" ht="12.75" x14ac:dyDescent="0.2">
      <c r="A294" s="586" t="s">
        <v>432</v>
      </c>
      <c r="B294" s="587"/>
      <c r="C294" s="587"/>
      <c r="D294" s="587"/>
      <c r="E294" s="588"/>
      <c r="F294" s="376"/>
      <c r="G294" s="263"/>
    </row>
    <row r="295" spans="1:7" ht="42.75" customHeight="1" x14ac:dyDescent="0.2">
      <c r="A295" s="264" t="s">
        <v>8</v>
      </c>
      <c r="B295" s="407" t="s">
        <v>432</v>
      </c>
      <c r="C295" s="408" t="s">
        <v>433</v>
      </c>
      <c r="D295" s="310" t="s">
        <v>11</v>
      </c>
      <c r="E295" s="497" t="s">
        <v>12</v>
      </c>
      <c r="F295" s="376"/>
      <c r="G295" s="263"/>
    </row>
    <row r="296" spans="1:7" ht="15" customHeight="1" x14ac:dyDescent="0.2">
      <c r="A296" s="434" t="s">
        <v>434</v>
      </c>
      <c r="B296" s="429" t="s">
        <v>435</v>
      </c>
      <c r="C296" s="383">
        <f>+[7]BS17A!$D1863</f>
        <v>228</v>
      </c>
      <c r="D296" s="275">
        <f>+[7]BS17A!$U1863</f>
        <v>18430</v>
      </c>
      <c r="E296" s="344">
        <f>+[7]BS17A!$V1863</f>
        <v>4202040</v>
      </c>
      <c r="F296" s="262"/>
    </row>
    <row r="297" spans="1:7" ht="15" customHeight="1" x14ac:dyDescent="0.2">
      <c r="A297" s="435" t="s">
        <v>436</v>
      </c>
      <c r="B297" s="430" t="s">
        <v>437</v>
      </c>
      <c r="C297" s="380">
        <f>+[7]BS17A!$D1864</f>
        <v>199</v>
      </c>
      <c r="D297" s="270">
        <f>+[7]BS17A!$U1864</f>
        <v>57970</v>
      </c>
      <c r="E297" s="345">
        <f>+[7]BS17A!$V1864</f>
        <v>11536030</v>
      </c>
      <c r="F297" s="262"/>
    </row>
    <row r="298" spans="1:7" ht="15" customHeight="1" x14ac:dyDescent="0.2">
      <c r="A298" s="435" t="s">
        <v>438</v>
      </c>
      <c r="B298" s="430" t="s">
        <v>439</v>
      </c>
      <c r="C298" s="380">
        <f>+[7]BS17A!$D1865</f>
        <v>0</v>
      </c>
      <c r="D298" s="270">
        <f>+[7]BS17A!$U1865</f>
        <v>71860</v>
      </c>
      <c r="E298" s="345">
        <f>+[7]BS17A!$V1865</f>
        <v>0</v>
      </c>
      <c r="F298" s="262"/>
    </row>
    <row r="299" spans="1:7" ht="15" customHeight="1" x14ac:dyDescent="0.2">
      <c r="A299" s="435" t="s">
        <v>440</v>
      </c>
      <c r="B299" s="430" t="s">
        <v>441</v>
      </c>
      <c r="C299" s="380">
        <f>+[7]BS17A!$D1866</f>
        <v>211</v>
      </c>
      <c r="D299" s="270">
        <f>+[7]BS17A!$U1866</f>
        <v>2520</v>
      </c>
      <c r="E299" s="345">
        <f>+[7]BS17A!$V1866</f>
        <v>531720</v>
      </c>
      <c r="F299" s="262"/>
    </row>
    <row r="300" spans="1:7" ht="15" customHeight="1" x14ac:dyDescent="0.2">
      <c r="A300" s="435" t="s">
        <v>442</v>
      </c>
      <c r="B300" s="430" t="s">
        <v>443</v>
      </c>
      <c r="C300" s="380">
        <f>+[7]BS17A!$D1867</f>
        <v>0</v>
      </c>
      <c r="D300" s="270">
        <f>+[7]BS17A!$U1867</f>
        <v>70</v>
      </c>
      <c r="E300" s="345">
        <f>+[7]BS17A!$V1867</f>
        <v>0</v>
      </c>
      <c r="F300" s="262"/>
    </row>
    <row r="301" spans="1:7" ht="15" customHeight="1" x14ac:dyDescent="0.2">
      <c r="A301" s="435" t="s">
        <v>444</v>
      </c>
      <c r="B301" s="431" t="s">
        <v>445</v>
      </c>
      <c r="C301" s="380">
        <f>+[7]BS17A!$D1868</f>
        <v>0</v>
      </c>
      <c r="D301" s="270">
        <f>+[7]BS17A!$U1868</f>
        <v>152560</v>
      </c>
      <c r="E301" s="345">
        <f>+[7]BS17A!$V1868</f>
        <v>0</v>
      </c>
      <c r="F301" s="262"/>
    </row>
    <row r="302" spans="1:7" ht="15" customHeight="1" x14ac:dyDescent="0.2">
      <c r="A302" s="436" t="s">
        <v>446</v>
      </c>
      <c r="B302" s="432" t="s">
        <v>447</v>
      </c>
      <c r="C302" s="395">
        <f>+[7]BS17A!$D1869</f>
        <v>0</v>
      </c>
      <c r="D302" s="277">
        <f>+[7]BS17A!$U1869</f>
        <v>10370</v>
      </c>
      <c r="E302" s="350">
        <f>+[7]BS17A!$V1869</f>
        <v>0</v>
      </c>
      <c r="F302" s="262"/>
    </row>
    <row r="303" spans="1:7" ht="15" customHeight="1" x14ac:dyDescent="0.2">
      <c r="A303" s="437"/>
      <c r="B303" s="603" t="s">
        <v>448</v>
      </c>
      <c r="C303" s="604"/>
      <c r="D303" s="366"/>
      <c r="E303" s="377">
        <f>SUM(E296:E302)</f>
        <v>16269790</v>
      </c>
      <c r="F303" s="262"/>
    </row>
    <row r="304" spans="1:7" ht="12.75" x14ac:dyDescent="0.2">
      <c r="A304" s="262"/>
      <c r="B304" s="262"/>
      <c r="C304" s="262"/>
      <c r="D304" s="262"/>
      <c r="E304" s="262"/>
      <c r="F304" s="359"/>
      <c r="G304" s="361"/>
    </row>
    <row r="305" spans="1:7" ht="12.75" x14ac:dyDescent="0.2">
      <c r="A305" s="262"/>
      <c r="B305" s="262"/>
      <c r="C305" s="262"/>
      <c r="D305" s="262"/>
      <c r="E305" s="262"/>
      <c r="F305" s="359"/>
      <c r="G305" s="361"/>
    </row>
    <row r="306" spans="1:7" ht="12.75" x14ac:dyDescent="0.2">
      <c r="A306" s="597" t="s">
        <v>449</v>
      </c>
      <c r="B306" s="598"/>
      <c r="C306" s="598"/>
      <c r="D306" s="598"/>
      <c r="E306" s="599"/>
      <c r="F306" s="359"/>
      <c r="G306" s="361"/>
    </row>
    <row r="307" spans="1:7" ht="12.75" x14ac:dyDescent="0.2">
      <c r="A307" s="307"/>
      <c r="B307" s="600" t="s">
        <v>450</v>
      </c>
      <c r="C307" s="601"/>
      <c r="D307" s="602"/>
      <c r="E307" s="378">
        <f>+E232+E237+E281+E291+E303</f>
        <v>32752840</v>
      </c>
      <c r="F307" s="262"/>
    </row>
    <row r="308" spans="1:7" ht="12.75" x14ac:dyDescent="0.2">
      <c r="A308" s="262"/>
      <c r="B308" s="262"/>
      <c r="C308" s="262"/>
      <c r="D308" s="262"/>
      <c r="E308" s="262"/>
      <c r="F308" s="359"/>
      <c r="G308" s="361"/>
    </row>
    <row r="309" spans="1:7" ht="12.75" x14ac:dyDescent="0.2">
      <c r="A309" s="262"/>
      <c r="B309" s="262"/>
      <c r="C309" s="262"/>
      <c r="D309" s="262"/>
      <c r="E309" s="262"/>
      <c r="F309" s="359"/>
      <c r="G309" s="361"/>
    </row>
    <row r="310" spans="1:7" ht="12.75" x14ac:dyDescent="0.2">
      <c r="A310" s="597" t="s">
        <v>451</v>
      </c>
      <c r="B310" s="598"/>
      <c r="C310" s="598"/>
      <c r="D310" s="598"/>
      <c r="E310" s="599"/>
      <c r="F310" s="359"/>
      <c r="G310" s="361"/>
    </row>
    <row r="311" spans="1:7" ht="25.5" x14ac:dyDescent="0.2">
      <c r="A311" s="586" t="s">
        <v>452</v>
      </c>
      <c r="B311" s="587"/>
      <c r="C311" s="587"/>
      <c r="D311" s="588"/>
      <c r="E311" s="264" t="s">
        <v>12</v>
      </c>
      <c r="F311" s="359"/>
      <c r="G311" s="361"/>
    </row>
    <row r="312" spans="1:7" ht="15" customHeight="1" x14ac:dyDescent="0.2">
      <c r="A312" s="307"/>
      <c r="B312" s="600" t="s">
        <v>453</v>
      </c>
      <c r="C312" s="601"/>
      <c r="D312" s="602"/>
      <c r="E312" s="378">
        <f>+E50+E76+E84+F109+E116+C121+E148+E155+E168+E204+E218+C225+E307</f>
        <v>755159120</v>
      </c>
      <c r="F312" s="359"/>
      <c r="G312" s="361"/>
    </row>
    <row r="313" spans="1:7" ht="18" customHeight="1" x14ac:dyDescent="0.2">
      <c r="A313" s="262"/>
      <c r="B313" s="262"/>
      <c r="C313" s="262"/>
      <c r="D313" s="262"/>
      <c r="E313" s="262"/>
      <c r="F313" s="259"/>
    </row>
    <row r="314" spans="1:7" ht="18" customHeight="1" x14ac:dyDescent="0.2">
      <c r="A314" s="262"/>
      <c r="B314" s="262"/>
      <c r="C314" s="262"/>
      <c r="D314" s="262"/>
      <c r="E314" s="262"/>
      <c r="F314" s="259"/>
    </row>
    <row r="315" spans="1:7" ht="18" customHeight="1" x14ac:dyDescent="0.2">
      <c r="A315" s="597" t="s">
        <v>454</v>
      </c>
      <c r="B315" s="598"/>
      <c r="C315" s="599"/>
      <c r="D315" s="262"/>
      <c r="E315" s="262"/>
      <c r="F315" s="259"/>
    </row>
    <row r="316" spans="1:7" ht="18" customHeight="1" x14ac:dyDescent="0.2">
      <c r="A316" s="586" t="s">
        <v>455</v>
      </c>
      <c r="B316" s="587"/>
      <c r="C316" s="588"/>
      <c r="D316" s="262"/>
      <c r="E316" s="262"/>
      <c r="F316" s="259"/>
    </row>
    <row r="317" spans="1:7" ht="30.75" customHeight="1" x14ac:dyDescent="0.2">
      <c r="A317" s="597" t="s">
        <v>456</v>
      </c>
      <c r="B317" s="598"/>
      <c r="C317" s="264" t="s">
        <v>457</v>
      </c>
      <c r="D317" s="262"/>
      <c r="E317" s="262"/>
      <c r="F317" s="262"/>
    </row>
    <row r="318" spans="1:7" ht="15" customHeight="1" x14ac:dyDescent="0.2">
      <c r="A318" s="379" t="s">
        <v>458</v>
      </c>
      <c r="B318" s="397"/>
      <c r="C318" s="403"/>
      <c r="D318" s="262"/>
      <c r="E318" s="262"/>
      <c r="F318" s="262"/>
    </row>
    <row r="319" spans="1:7" ht="15" customHeight="1" x14ac:dyDescent="0.2">
      <c r="A319" s="380" t="s">
        <v>459</v>
      </c>
      <c r="B319" s="398"/>
      <c r="C319" s="404"/>
      <c r="D319" s="262"/>
      <c r="E319" s="262"/>
      <c r="F319" s="262"/>
    </row>
    <row r="320" spans="1:7" ht="15" customHeight="1" x14ac:dyDescent="0.2">
      <c r="A320" s="380" t="s">
        <v>460</v>
      </c>
      <c r="B320" s="398"/>
      <c r="C320" s="404"/>
      <c r="D320" s="262"/>
      <c r="E320" s="262"/>
      <c r="F320" s="262"/>
    </row>
    <row r="321" spans="1:6" ht="15" customHeight="1" x14ac:dyDescent="0.2">
      <c r="A321" s="381" t="s">
        <v>461</v>
      </c>
      <c r="B321" s="398"/>
      <c r="C321" s="404"/>
      <c r="D321" s="262"/>
      <c r="E321" s="262"/>
      <c r="F321" s="262"/>
    </row>
    <row r="322" spans="1:6" ht="15" customHeight="1" x14ac:dyDescent="0.2">
      <c r="A322" s="382" t="s">
        <v>462</v>
      </c>
      <c r="B322" s="399"/>
      <c r="C322" s="405">
        <f>SUM(C318:C321)</f>
        <v>0</v>
      </c>
      <c r="D322" s="262"/>
      <c r="E322" s="262"/>
      <c r="F322" s="262"/>
    </row>
    <row r="323" spans="1:6" ht="15" customHeight="1" x14ac:dyDescent="0.2">
      <c r="A323" s="383" t="s">
        <v>463</v>
      </c>
      <c r="B323" s="400"/>
      <c r="C323" s="403">
        <v>12159340</v>
      </c>
      <c r="D323" s="262"/>
      <c r="E323" s="262"/>
      <c r="F323" s="262"/>
    </row>
    <row r="324" spans="1:6" ht="15" customHeight="1" x14ac:dyDescent="0.2">
      <c r="A324" s="384" t="s">
        <v>464</v>
      </c>
      <c r="B324" s="401"/>
      <c r="C324" s="404"/>
      <c r="D324" s="262"/>
      <c r="E324" s="262"/>
      <c r="F324" s="262"/>
    </row>
    <row r="325" spans="1:6" ht="15" customHeight="1" x14ac:dyDescent="0.2">
      <c r="A325" s="380" t="s">
        <v>465</v>
      </c>
      <c r="B325" s="401"/>
      <c r="C325" s="404"/>
      <c r="D325" s="262"/>
      <c r="E325" s="262"/>
      <c r="F325" s="262"/>
    </row>
    <row r="326" spans="1:6" ht="15" customHeight="1" x14ac:dyDescent="0.2">
      <c r="A326" s="380" t="s">
        <v>466</v>
      </c>
      <c r="B326" s="401"/>
      <c r="C326" s="404"/>
      <c r="D326" s="262"/>
      <c r="E326" s="262"/>
      <c r="F326" s="262"/>
    </row>
    <row r="327" spans="1:6" ht="15" customHeight="1" x14ac:dyDescent="0.2">
      <c r="A327" s="384" t="s">
        <v>467</v>
      </c>
      <c r="B327" s="401"/>
      <c r="C327" s="404"/>
      <c r="D327" s="262"/>
      <c r="E327" s="262"/>
      <c r="F327" s="262"/>
    </row>
    <row r="328" spans="1:6" ht="15" customHeight="1" x14ac:dyDescent="0.2">
      <c r="A328" s="384" t="s">
        <v>468</v>
      </c>
      <c r="B328" s="401"/>
      <c r="C328" s="404"/>
      <c r="D328" s="262"/>
      <c r="E328" s="262"/>
      <c r="F328" s="262"/>
    </row>
    <row r="329" spans="1:6" ht="15" customHeight="1" x14ac:dyDescent="0.2">
      <c r="A329" s="385" t="s">
        <v>469</v>
      </c>
      <c r="B329" s="402"/>
      <c r="C329" s="406">
        <v>105270922</v>
      </c>
      <c r="D329" s="262"/>
      <c r="E329" s="262"/>
      <c r="F329" s="262"/>
    </row>
    <row r="330" spans="1:6" ht="15" customHeight="1" x14ac:dyDescent="0.2">
      <c r="A330" s="279"/>
      <c r="B330" s="396" t="s">
        <v>470</v>
      </c>
      <c r="C330" s="354">
        <f>SUM(C322:C329)</f>
        <v>117430262</v>
      </c>
      <c r="D330" s="262"/>
      <c r="E330" s="262"/>
      <c r="F330" s="262"/>
    </row>
    <row r="331" spans="1:6" ht="12.75" x14ac:dyDescent="0.2">
      <c r="A331" s="262"/>
      <c r="B331" s="262"/>
      <c r="C331" s="262"/>
      <c r="D331" s="262"/>
      <c r="E331" s="262"/>
      <c r="F331" s="259"/>
    </row>
    <row r="332" spans="1:6" ht="12.75" x14ac:dyDescent="0.2">
      <c r="A332" s="262"/>
      <c r="B332" s="262"/>
      <c r="C332" s="262"/>
      <c r="D332" s="262"/>
      <c r="E332" s="262"/>
      <c r="F332" s="259"/>
    </row>
    <row r="333" spans="1:6" ht="12.75" x14ac:dyDescent="0.2">
      <c r="A333" s="262"/>
      <c r="B333" s="262"/>
      <c r="C333" s="262"/>
      <c r="D333" s="262"/>
      <c r="E333" s="262"/>
      <c r="F333" s="259"/>
    </row>
    <row r="334" spans="1:6" ht="12.75" x14ac:dyDescent="0.2">
      <c r="A334" s="362"/>
      <c r="B334" s="362"/>
      <c r="C334" s="362"/>
      <c r="D334" s="362"/>
      <c r="E334" s="362"/>
      <c r="F334" s="375"/>
    </row>
    <row r="335" spans="1:6" ht="12.75" x14ac:dyDescent="0.2">
      <c r="A335" s="362"/>
      <c r="B335" s="362"/>
      <c r="C335" s="362"/>
      <c r="D335" s="362"/>
      <c r="E335" s="610" t="str">
        <f>[7]NOMBRE!B12</f>
        <v>SRA. MARIA INES NUÑEZ GONZALEZ</v>
      </c>
      <c r="F335" s="610"/>
    </row>
    <row r="336" spans="1:6" ht="12.75" x14ac:dyDescent="0.2">
      <c r="A336" s="362"/>
      <c r="B336" s="362"/>
      <c r="C336" s="362"/>
      <c r="D336" s="364"/>
      <c r="E336" s="609" t="str">
        <f>[7]NOMBRE!A12</f>
        <v>Jefe de Estadisticas</v>
      </c>
      <c r="F336" s="609"/>
    </row>
    <row r="337" spans="1:6" ht="12.75" x14ac:dyDescent="0.2">
      <c r="A337" s="362"/>
      <c r="B337" s="362"/>
      <c r="C337" s="362"/>
      <c r="D337" s="362"/>
      <c r="E337" s="494"/>
      <c r="F337" s="387"/>
    </row>
    <row r="338" spans="1:6" ht="12.75" x14ac:dyDescent="0.2">
      <c r="A338" s="362"/>
      <c r="B338" s="362"/>
      <c r="C338" s="362"/>
      <c r="D338" s="362"/>
      <c r="E338" s="387"/>
      <c r="F338" s="387"/>
    </row>
    <row r="339" spans="1:6" ht="12.75" x14ac:dyDescent="0.2">
      <c r="A339" s="362"/>
      <c r="B339" s="362"/>
      <c r="C339" s="362"/>
      <c r="D339" s="362"/>
      <c r="E339" s="387"/>
      <c r="F339" s="387"/>
    </row>
    <row r="340" spans="1:6" ht="12.75" x14ac:dyDescent="0.2">
      <c r="A340" s="362"/>
      <c r="B340" s="362"/>
      <c r="C340" s="362"/>
      <c r="D340" s="362"/>
      <c r="E340" s="387"/>
      <c r="F340" s="387"/>
    </row>
    <row r="341" spans="1:6" ht="12.75" x14ac:dyDescent="0.2">
      <c r="A341" s="362"/>
      <c r="B341" s="362"/>
      <c r="C341" s="362"/>
      <c r="D341" s="362"/>
      <c r="E341" s="387"/>
      <c r="F341" s="387"/>
    </row>
    <row r="342" spans="1:6" ht="12.75" x14ac:dyDescent="0.2">
      <c r="A342" s="362"/>
      <c r="B342" s="362"/>
      <c r="C342" s="362"/>
      <c r="D342" s="362"/>
      <c r="E342" s="387"/>
      <c r="F342" s="387"/>
    </row>
    <row r="343" spans="1:6" ht="12.75" x14ac:dyDescent="0.2">
      <c r="A343" s="362"/>
      <c r="B343" s="362"/>
      <c r="C343" s="362"/>
      <c r="D343" s="362"/>
      <c r="E343" s="387"/>
      <c r="F343" s="387"/>
    </row>
    <row r="344" spans="1:6" ht="12.75" x14ac:dyDescent="0.2">
      <c r="A344" s="362"/>
      <c r="B344" s="362"/>
      <c r="C344" s="362"/>
      <c r="D344" s="362"/>
      <c r="E344" s="610" t="str">
        <f>[7]NOMBRE!B11</f>
        <v>DR. FRANCISCO MARTINEZ CAVALLA</v>
      </c>
      <c r="F344" s="610"/>
    </row>
    <row r="345" spans="1:6" ht="22.5" customHeight="1" x14ac:dyDescent="0.2">
      <c r="A345" s="362"/>
      <c r="B345" s="362"/>
      <c r="C345" s="362"/>
      <c r="D345" s="375"/>
      <c r="E345" s="609" t="str">
        <f>CONCATENATE("Director ",[7]NOMBRE!B1)</f>
        <v xml:space="preserve">Director </v>
      </c>
      <c r="F345" s="609"/>
    </row>
    <row r="346" spans="1:6" ht="12.75" x14ac:dyDescent="0.2">
      <c r="A346" s="362"/>
      <c r="B346" s="362"/>
      <c r="C346" s="362"/>
      <c r="D346" s="388"/>
      <c r="E346" s="362"/>
      <c r="F346" s="375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80" zoomScaleNormal="80" workbookViewId="0">
      <selection activeCell="C16" sqref="C16"/>
    </sheetView>
  </sheetViews>
  <sheetFormatPr baseColWidth="10" defaultRowHeight="10.5" x14ac:dyDescent="0.15"/>
  <cols>
    <col min="1" max="1" width="20.28515625" style="501" customWidth="1"/>
    <col min="2" max="2" width="83.140625" style="501" customWidth="1"/>
    <col min="3" max="5" width="21.42578125" style="501" customWidth="1"/>
    <col min="6" max="6" width="19.5703125" style="502" customWidth="1"/>
    <col min="7" max="7" width="2.42578125" style="501" customWidth="1"/>
    <col min="8" max="9" width="5.140625" style="501" customWidth="1"/>
    <col min="10" max="256" width="11.42578125" style="501"/>
    <col min="257" max="257" width="20.28515625" style="501" customWidth="1"/>
    <col min="258" max="258" width="83.140625" style="501" customWidth="1"/>
    <col min="259" max="261" width="21.42578125" style="501" customWidth="1"/>
    <col min="262" max="262" width="19.5703125" style="501" customWidth="1"/>
    <col min="263" max="263" width="2.42578125" style="501" customWidth="1"/>
    <col min="264" max="265" width="5.140625" style="501" customWidth="1"/>
    <col min="266" max="512" width="11.42578125" style="501"/>
    <col min="513" max="513" width="20.28515625" style="501" customWidth="1"/>
    <col min="514" max="514" width="83.140625" style="501" customWidth="1"/>
    <col min="515" max="517" width="21.42578125" style="501" customWidth="1"/>
    <col min="518" max="518" width="19.5703125" style="501" customWidth="1"/>
    <col min="519" max="519" width="2.42578125" style="501" customWidth="1"/>
    <col min="520" max="521" width="5.140625" style="501" customWidth="1"/>
    <col min="522" max="768" width="11.42578125" style="501"/>
    <col min="769" max="769" width="20.28515625" style="501" customWidth="1"/>
    <col min="770" max="770" width="83.140625" style="501" customWidth="1"/>
    <col min="771" max="773" width="21.42578125" style="501" customWidth="1"/>
    <col min="774" max="774" width="19.5703125" style="501" customWidth="1"/>
    <col min="775" max="775" width="2.42578125" style="501" customWidth="1"/>
    <col min="776" max="777" width="5.140625" style="501" customWidth="1"/>
    <col min="778" max="1024" width="11.42578125" style="501"/>
    <col min="1025" max="1025" width="20.28515625" style="501" customWidth="1"/>
    <col min="1026" max="1026" width="83.140625" style="501" customWidth="1"/>
    <col min="1027" max="1029" width="21.42578125" style="501" customWidth="1"/>
    <col min="1030" max="1030" width="19.5703125" style="501" customWidth="1"/>
    <col min="1031" max="1031" width="2.42578125" style="501" customWidth="1"/>
    <col min="1032" max="1033" width="5.140625" style="501" customWidth="1"/>
    <col min="1034" max="1280" width="11.42578125" style="501"/>
    <col min="1281" max="1281" width="20.28515625" style="501" customWidth="1"/>
    <col min="1282" max="1282" width="83.140625" style="501" customWidth="1"/>
    <col min="1283" max="1285" width="21.42578125" style="501" customWidth="1"/>
    <col min="1286" max="1286" width="19.5703125" style="501" customWidth="1"/>
    <col min="1287" max="1287" width="2.42578125" style="501" customWidth="1"/>
    <col min="1288" max="1289" width="5.140625" style="501" customWidth="1"/>
    <col min="1290" max="1536" width="11.42578125" style="501"/>
    <col min="1537" max="1537" width="20.28515625" style="501" customWidth="1"/>
    <col min="1538" max="1538" width="83.140625" style="501" customWidth="1"/>
    <col min="1539" max="1541" width="21.42578125" style="501" customWidth="1"/>
    <col min="1542" max="1542" width="19.5703125" style="501" customWidth="1"/>
    <col min="1543" max="1543" width="2.42578125" style="501" customWidth="1"/>
    <col min="1544" max="1545" width="5.140625" style="501" customWidth="1"/>
    <col min="1546" max="1792" width="11.42578125" style="501"/>
    <col min="1793" max="1793" width="20.28515625" style="501" customWidth="1"/>
    <col min="1794" max="1794" width="83.140625" style="501" customWidth="1"/>
    <col min="1795" max="1797" width="21.42578125" style="501" customWidth="1"/>
    <col min="1798" max="1798" width="19.5703125" style="501" customWidth="1"/>
    <col min="1799" max="1799" width="2.42578125" style="501" customWidth="1"/>
    <col min="1800" max="1801" width="5.140625" style="501" customWidth="1"/>
    <col min="1802" max="2048" width="11.42578125" style="501"/>
    <col min="2049" max="2049" width="20.28515625" style="501" customWidth="1"/>
    <col min="2050" max="2050" width="83.140625" style="501" customWidth="1"/>
    <col min="2051" max="2053" width="21.42578125" style="501" customWidth="1"/>
    <col min="2054" max="2054" width="19.5703125" style="501" customWidth="1"/>
    <col min="2055" max="2055" width="2.42578125" style="501" customWidth="1"/>
    <col min="2056" max="2057" width="5.140625" style="501" customWidth="1"/>
    <col min="2058" max="2304" width="11.42578125" style="501"/>
    <col min="2305" max="2305" width="20.28515625" style="501" customWidth="1"/>
    <col min="2306" max="2306" width="83.140625" style="501" customWidth="1"/>
    <col min="2307" max="2309" width="21.42578125" style="501" customWidth="1"/>
    <col min="2310" max="2310" width="19.5703125" style="501" customWidth="1"/>
    <col min="2311" max="2311" width="2.42578125" style="501" customWidth="1"/>
    <col min="2312" max="2313" width="5.140625" style="501" customWidth="1"/>
    <col min="2314" max="2560" width="11.42578125" style="501"/>
    <col min="2561" max="2561" width="20.28515625" style="501" customWidth="1"/>
    <col min="2562" max="2562" width="83.140625" style="501" customWidth="1"/>
    <col min="2563" max="2565" width="21.42578125" style="501" customWidth="1"/>
    <col min="2566" max="2566" width="19.5703125" style="501" customWidth="1"/>
    <col min="2567" max="2567" width="2.42578125" style="501" customWidth="1"/>
    <col min="2568" max="2569" width="5.140625" style="501" customWidth="1"/>
    <col min="2570" max="2816" width="11.42578125" style="501"/>
    <col min="2817" max="2817" width="20.28515625" style="501" customWidth="1"/>
    <col min="2818" max="2818" width="83.140625" style="501" customWidth="1"/>
    <col min="2819" max="2821" width="21.42578125" style="501" customWidth="1"/>
    <col min="2822" max="2822" width="19.5703125" style="501" customWidth="1"/>
    <col min="2823" max="2823" width="2.42578125" style="501" customWidth="1"/>
    <col min="2824" max="2825" width="5.140625" style="501" customWidth="1"/>
    <col min="2826" max="3072" width="11.42578125" style="501"/>
    <col min="3073" max="3073" width="20.28515625" style="501" customWidth="1"/>
    <col min="3074" max="3074" width="83.140625" style="501" customWidth="1"/>
    <col min="3075" max="3077" width="21.42578125" style="501" customWidth="1"/>
    <col min="3078" max="3078" width="19.5703125" style="501" customWidth="1"/>
    <col min="3079" max="3079" width="2.42578125" style="501" customWidth="1"/>
    <col min="3080" max="3081" width="5.140625" style="501" customWidth="1"/>
    <col min="3082" max="3328" width="11.42578125" style="501"/>
    <col min="3329" max="3329" width="20.28515625" style="501" customWidth="1"/>
    <col min="3330" max="3330" width="83.140625" style="501" customWidth="1"/>
    <col min="3331" max="3333" width="21.42578125" style="501" customWidth="1"/>
    <col min="3334" max="3334" width="19.5703125" style="501" customWidth="1"/>
    <col min="3335" max="3335" width="2.42578125" style="501" customWidth="1"/>
    <col min="3336" max="3337" width="5.140625" style="501" customWidth="1"/>
    <col min="3338" max="3584" width="11.42578125" style="501"/>
    <col min="3585" max="3585" width="20.28515625" style="501" customWidth="1"/>
    <col min="3586" max="3586" width="83.140625" style="501" customWidth="1"/>
    <col min="3587" max="3589" width="21.42578125" style="501" customWidth="1"/>
    <col min="3590" max="3590" width="19.5703125" style="501" customWidth="1"/>
    <col min="3591" max="3591" width="2.42578125" style="501" customWidth="1"/>
    <col min="3592" max="3593" width="5.140625" style="501" customWidth="1"/>
    <col min="3594" max="3840" width="11.42578125" style="501"/>
    <col min="3841" max="3841" width="20.28515625" style="501" customWidth="1"/>
    <col min="3842" max="3842" width="83.140625" style="501" customWidth="1"/>
    <col min="3843" max="3845" width="21.42578125" style="501" customWidth="1"/>
    <col min="3846" max="3846" width="19.5703125" style="501" customWidth="1"/>
    <col min="3847" max="3847" width="2.42578125" style="501" customWidth="1"/>
    <col min="3848" max="3849" width="5.140625" style="501" customWidth="1"/>
    <col min="3850" max="4096" width="11.42578125" style="501"/>
    <col min="4097" max="4097" width="20.28515625" style="501" customWidth="1"/>
    <col min="4098" max="4098" width="83.140625" style="501" customWidth="1"/>
    <col min="4099" max="4101" width="21.42578125" style="501" customWidth="1"/>
    <col min="4102" max="4102" width="19.5703125" style="501" customWidth="1"/>
    <col min="4103" max="4103" width="2.42578125" style="501" customWidth="1"/>
    <col min="4104" max="4105" width="5.140625" style="501" customWidth="1"/>
    <col min="4106" max="4352" width="11.42578125" style="501"/>
    <col min="4353" max="4353" width="20.28515625" style="501" customWidth="1"/>
    <col min="4354" max="4354" width="83.140625" style="501" customWidth="1"/>
    <col min="4355" max="4357" width="21.42578125" style="501" customWidth="1"/>
    <col min="4358" max="4358" width="19.5703125" style="501" customWidth="1"/>
    <col min="4359" max="4359" width="2.42578125" style="501" customWidth="1"/>
    <col min="4360" max="4361" width="5.140625" style="501" customWidth="1"/>
    <col min="4362" max="4608" width="11.42578125" style="501"/>
    <col min="4609" max="4609" width="20.28515625" style="501" customWidth="1"/>
    <col min="4610" max="4610" width="83.140625" style="501" customWidth="1"/>
    <col min="4611" max="4613" width="21.42578125" style="501" customWidth="1"/>
    <col min="4614" max="4614" width="19.5703125" style="501" customWidth="1"/>
    <col min="4615" max="4615" width="2.42578125" style="501" customWidth="1"/>
    <col min="4616" max="4617" width="5.140625" style="501" customWidth="1"/>
    <col min="4618" max="4864" width="11.42578125" style="501"/>
    <col min="4865" max="4865" width="20.28515625" style="501" customWidth="1"/>
    <col min="4866" max="4866" width="83.140625" style="501" customWidth="1"/>
    <col min="4867" max="4869" width="21.42578125" style="501" customWidth="1"/>
    <col min="4870" max="4870" width="19.5703125" style="501" customWidth="1"/>
    <col min="4871" max="4871" width="2.42578125" style="501" customWidth="1"/>
    <col min="4872" max="4873" width="5.140625" style="501" customWidth="1"/>
    <col min="4874" max="5120" width="11.42578125" style="501"/>
    <col min="5121" max="5121" width="20.28515625" style="501" customWidth="1"/>
    <col min="5122" max="5122" width="83.140625" style="501" customWidth="1"/>
    <col min="5123" max="5125" width="21.42578125" style="501" customWidth="1"/>
    <col min="5126" max="5126" width="19.5703125" style="501" customWidth="1"/>
    <col min="5127" max="5127" width="2.42578125" style="501" customWidth="1"/>
    <col min="5128" max="5129" width="5.140625" style="501" customWidth="1"/>
    <col min="5130" max="5376" width="11.42578125" style="501"/>
    <col min="5377" max="5377" width="20.28515625" style="501" customWidth="1"/>
    <col min="5378" max="5378" width="83.140625" style="501" customWidth="1"/>
    <col min="5379" max="5381" width="21.42578125" style="501" customWidth="1"/>
    <col min="5382" max="5382" width="19.5703125" style="501" customWidth="1"/>
    <col min="5383" max="5383" width="2.42578125" style="501" customWidth="1"/>
    <col min="5384" max="5385" width="5.140625" style="501" customWidth="1"/>
    <col min="5386" max="5632" width="11.42578125" style="501"/>
    <col min="5633" max="5633" width="20.28515625" style="501" customWidth="1"/>
    <col min="5634" max="5634" width="83.140625" style="501" customWidth="1"/>
    <col min="5635" max="5637" width="21.42578125" style="501" customWidth="1"/>
    <col min="5638" max="5638" width="19.5703125" style="501" customWidth="1"/>
    <col min="5639" max="5639" width="2.42578125" style="501" customWidth="1"/>
    <col min="5640" max="5641" width="5.140625" style="501" customWidth="1"/>
    <col min="5642" max="5888" width="11.42578125" style="501"/>
    <col min="5889" max="5889" width="20.28515625" style="501" customWidth="1"/>
    <col min="5890" max="5890" width="83.140625" style="501" customWidth="1"/>
    <col min="5891" max="5893" width="21.42578125" style="501" customWidth="1"/>
    <col min="5894" max="5894" width="19.5703125" style="501" customWidth="1"/>
    <col min="5895" max="5895" width="2.42578125" style="501" customWidth="1"/>
    <col min="5896" max="5897" width="5.140625" style="501" customWidth="1"/>
    <col min="5898" max="6144" width="11.42578125" style="501"/>
    <col min="6145" max="6145" width="20.28515625" style="501" customWidth="1"/>
    <col min="6146" max="6146" width="83.140625" style="501" customWidth="1"/>
    <col min="6147" max="6149" width="21.42578125" style="501" customWidth="1"/>
    <col min="6150" max="6150" width="19.5703125" style="501" customWidth="1"/>
    <col min="6151" max="6151" width="2.42578125" style="501" customWidth="1"/>
    <col min="6152" max="6153" width="5.140625" style="501" customWidth="1"/>
    <col min="6154" max="6400" width="11.42578125" style="501"/>
    <col min="6401" max="6401" width="20.28515625" style="501" customWidth="1"/>
    <col min="6402" max="6402" width="83.140625" style="501" customWidth="1"/>
    <col min="6403" max="6405" width="21.42578125" style="501" customWidth="1"/>
    <col min="6406" max="6406" width="19.5703125" style="501" customWidth="1"/>
    <col min="6407" max="6407" width="2.42578125" style="501" customWidth="1"/>
    <col min="6408" max="6409" width="5.140625" style="501" customWidth="1"/>
    <col min="6410" max="6656" width="11.42578125" style="501"/>
    <col min="6657" max="6657" width="20.28515625" style="501" customWidth="1"/>
    <col min="6658" max="6658" width="83.140625" style="501" customWidth="1"/>
    <col min="6659" max="6661" width="21.42578125" style="501" customWidth="1"/>
    <col min="6662" max="6662" width="19.5703125" style="501" customWidth="1"/>
    <col min="6663" max="6663" width="2.42578125" style="501" customWidth="1"/>
    <col min="6664" max="6665" width="5.140625" style="501" customWidth="1"/>
    <col min="6666" max="6912" width="11.42578125" style="501"/>
    <col min="6913" max="6913" width="20.28515625" style="501" customWidth="1"/>
    <col min="6914" max="6914" width="83.140625" style="501" customWidth="1"/>
    <col min="6915" max="6917" width="21.42578125" style="501" customWidth="1"/>
    <col min="6918" max="6918" width="19.5703125" style="501" customWidth="1"/>
    <col min="6919" max="6919" width="2.42578125" style="501" customWidth="1"/>
    <col min="6920" max="6921" width="5.140625" style="501" customWidth="1"/>
    <col min="6922" max="7168" width="11.42578125" style="501"/>
    <col min="7169" max="7169" width="20.28515625" style="501" customWidth="1"/>
    <col min="7170" max="7170" width="83.140625" style="501" customWidth="1"/>
    <col min="7171" max="7173" width="21.42578125" style="501" customWidth="1"/>
    <col min="7174" max="7174" width="19.5703125" style="501" customWidth="1"/>
    <col min="7175" max="7175" width="2.42578125" style="501" customWidth="1"/>
    <col min="7176" max="7177" width="5.140625" style="501" customWidth="1"/>
    <col min="7178" max="7424" width="11.42578125" style="501"/>
    <col min="7425" max="7425" width="20.28515625" style="501" customWidth="1"/>
    <col min="7426" max="7426" width="83.140625" style="501" customWidth="1"/>
    <col min="7427" max="7429" width="21.42578125" style="501" customWidth="1"/>
    <col min="7430" max="7430" width="19.5703125" style="501" customWidth="1"/>
    <col min="7431" max="7431" width="2.42578125" style="501" customWidth="1"/>
    <col min="7432" max="7433" width="5.140625" style="501" customWidth="1"/>
    <col min="7434" max="7680" width="11.42578125" style="501"/>
    <col min="7681" max="7681" width="20.28515625" style="501" customWidth="1"/>
    <col min="7682" max="7682" width="83.140625" style="501" customWidth="1"/>
    <col min="7683" max="7685" width="21.42578125" style="501" customWidth="1"/>
    <col min="7686" max="7686" width="19.5703125" style="501" customWidth="1"/>
    <col min="7687" max="7687" width="2.42578125" style="501" customWidth="1"/>
    <col min="7688" max="7689" width="5.140625" style="501" customWidth="1"/>
    <col min="7690" max="7936" width="11.42578125" style="501"/>
    <col min="7937" max="7937" width="20.28515625" style="501" customWidth="1"/>
    <col min="7938" max="7938" width="83.140625" style="501" customWidth="1"/>
    <col min="7939" max="7941" width="21.42578125" style="501" customWidth="1"/>
    <col min="7942" max="7942" width="19.5703125" style="501" customWidth="1"/>
    <col min="7943" max="7943" width="2.42578125" style="501" customWidth="1"/>
    <col min="7944" max="7945" width="5.140625" style="501" customWidth="1"/>
    <col min="7946" max="8192" width="11.42578125" style="501"/>
    <col min="8193" max="8193" width="20.28515625" style="501" customWidth="1"/>
    <col min="8194" max="8194" width="83.140625" style="501" customWidth="1"/>
    <col min="8195" max="8197" width="21.42578125" style="501" customWidth="1"/>
    <col min="8198" max="8198" width="19.5703125" style="501" customWidth="1"/>
    <col min="8199" max="8199" width="2.42578125" style="501" customWidth="1"/>
    <col min="8200" max="8201" width="5.140625" style="501" customWidth="1"/>
    <col min="8202" max="8448" width="11.42578125" style="501"/>
    <col min="8449" max="8449" width="20.28515625" style="501" customWidth="1"/>
    <col min="8450" max="8450" width="83.140625" style="501" customWidth="1"/>
    <col min="8451" max="8453" width="21.42578125" style="501" customWidth="1"/>
    <col min="8454" max="8454" width="19.5703125" style="501" customWidth="1"/>
    <col min="8455" max="8455" width="2.42578125" style="501" customWidth="1"/>
    <col min="8456" max="8457" width="5.140625" style="501" customWidth="1"/>
    <col min="8458" max="8704" width="11.42578125" style="501"/>
    <col min="8705" max="8705" width="20.28515625" style="501" customWidth="1"/>
    <col min="8706" max="8706" width="83.140625" style="501" customWidth="1"/>
    <col min="8707" max="8709" width="21.42578125" style="501" customWidth="1"/>
    <col min="8710" max="8710" width="19.5703125" style="501" customWidth="1"/>
    <col min="8711" max="8711" width="2.42578125" style="501" customWidth="1"/>
    <col min="8712" max="8713" width="5.140625" style="501" customWidth="1"/>
    <col min="8714" max="8960" width="11.42578125" style="501"/>
    <col min="8961" max="8961" width="20.28515625" style="501" customWidth="1"/>
    <col min="8962" max="8962" width="83.140625" style="501" customWidth="1"/>
    <col min="8963" max="8965" width="21.42578125" style="501" customWidth="1"/>
    <col min="8966" max="8966" width="19.5703125" style="501" customWidth="1"/>
    <col min="8967" max="8967" width="2.42578125" style="501" customWidth="1"/>
    <col min="8968" max="8969" width="5.140625" style="501" customWidth="1"/>
    <col min="8970" max="9216" width="11.42578125" style="501"/>
    <col min="9217" max="9217" width="20.28515625" style="501" customWidth="1"/>
    <col min="9218" max="9218" width="83.140625" style="501" customWidth="1"/>
    <col min="9219" max="9221" width="21.42578125" style="501" customWidth="1"/>
    <col min="9222" max="9222" width="19.5703125" style="501" customWidth="1"/>
    <col min="9223" max="9223" width="2.42578125" style="501" customWidth="1"/>
    <col min="9224" max="9225" width="5.140625" style="501" customWidth="1"/>
    <col min="9226" max="9472" width="11.42578125" style="501"/>
    <col min="9473" max="9473" width="20.28515625" style="501" customWidth="1"/>
    <col min="9474" max="9474" width="83.140625" style="501" customWidth="1"/>
    <col min="9475" max="9477" width="21.42578125" style="501" customWidth="1"/>
    <col min="9478" max="9478" width="19.5703125" style="501" customWidth="1"/>
    <col min="9479" max="9479" width="2.42578125" style="501" customWidth="1"/>
    <col min="9480" max="9481" width="5.140625" style="501" customWidth="1"/>
    <col min="9482" max="9728" width="11.42578125" style="501"/>
    <col min="9729" max="9729" width="20.28515625" style="501" customWidth="1"/>
    <col min="9730" max="9730" width="83.140625" style="501" customWidth="1"/>
    <col min="9731" max="9733" width="21.42578125" style="501" customWidth="1"/>
    <col min="9734" max="9734" width="19.5703125" style="501" customWidth="1"/>
    <col min="9735" max="9735" width="2.42578125" style="501" customWidth="1"/>
    <col min="9736" max="9737" width="5.140625" style="501" customWidth="1"/>
    <col min="9738" max="9984" width="11.42578125" style="501"/>
    <col min="9985" max="9985" width="20.28515625" style="501" customWidth="1"/>
    <col min="9986" max="9986" width="83.140625" style="501" customWidth="1"/>
    <col min="9987" max="9989" width="21.42578125" style="501" customWidth="1"/>
    <col min="9990" max="9990" width="19.5703125" style="501" customWidth="1"/>
    <col min="9991" max="9991" width="2.42578125" style="501" customWidth="1"/>
    <col min="9992" max="9993" width="5.140625" style="501" customWidth="1"/>
    <col min="9994" max="10240" width="11.42578125" style="501"/>
    <col min="10241" max="10241" width="20.28515625" style="501" customWidth="1"/>
    <col min="10242" max="10242" width="83.140625" style="501" customWidth="1"/>
    <col min="10243" max="10245" width="21.42578125" style="501" customWidth="1"/>
    <col min="10246" max="10246" width="19.5703125" style="501" customWidth="1"/>
    <col min="10247" max="10247" width="2.42578125" style="501" customWidth="1"/>
    <col min="10248" max="10249" width="5.140625" style="501" customWidth="1"/>
    <col min="10250" max="10496" width="11.42578125" style="501"/>
    <col min="10497" max="10497" width="20.28515625" style="501" customWidth="1"/>
    <col min="10498" max="10498" width="83.140625" style="501" customWidth="1"/>
    <col min="10499" max="10501" width="21.42578125" style="501" customWidth="1"/>
    <col min="10502" max="10502" width="19.5703125" style="501" customWidth="1"/>
    <col min="10503" max="10503" width="2.42578125" style="501" customWidth="1"/>
    <col min="10504" max="10505" width="5.140625" style="501" customWidth="1"/>
    <col min="10506" max="10752" width="11.42578125" style="501"/>
    <col min="10753" max="10753" width="20.28515625" style="501" customWidth="1"/>
    <col min="10754" max="10754" width="83.140625" style="501" customWidth="1"/>
    <col min="10755" max="10757" width="21.42578125" style="501" customWidth="1"/>
    <col min="10758" max="10758" width="19.5703125" style="501" customWidth="1"/>
    <col min="10759" max="10759" width="2.42578125" style="501" customWidth="1"/>
    <col min="10760" max="10761" width="5.140625" style="501" customWidth="1"/>
    <col min="10762" max="11008" width="11.42578125" style="501"/>
    <col min="11009" max="11009" width="20.28515625" style="501" customWidth="1"/>
    <col min="11010" max="11010" width="83.140625" style="501" customWidth="1"/>
    <col min="11011" max="11013" width="21.42578125" style="501" customWidth="1"/>
    <col min="11014" max="11014" width="19.5703125" style="501" customWidth="1"/>
    <col min="11015" max="11015" width="2.42578125" style="501" customWidth="1"/>
    <col min="11016" max="11017" width="5.140625" style="501" customWidth="1"/>
    <col min="11018" max="11264" width="11.42578125" style="501"/>
    <col min="11265" max="11265" width="20.28515625" style="501" customWidth="1"/>
    <col min="11266" max="11266" width="83.140625" style="501" customWidth="1"/>
    <col min="11267" max="11269" width="21.42578125" style="501" customWidth="1"/>
    <col min="11270" max="11270" width="19.5703125" style="501" customWidth="1"/>
    <col min="11271" max="11271" width="2.42578125" style="501" customWidth="1"/>
    <col min="11272" max="11273" width="5.140625" style="501" customWidth="1"/>
    <col min="11274" max="11520" width="11.42578125" style="501"/>
    <col min="11521" max="11521" width="20.28515625" style="501" customWidth="1"/>
    <col min="11522" max="11522" width="83.140625" style="501" customWidth="1"/>
    <col min="11523" max="11525" width="21.42578125" style="501" customWidth="1"/>
    <col min="11526" max="11526" width="19.5703125" style="501" customWidth="1"/>
    <col min="11527" max="11527" width="2.42578125" style="501" customWidth="1"/>
    <col min="11528" max="11529" width="5.140625" style="501" customWidth="1"/>
    <col min="11530" max="11776" width="11.42578125" style="501"/>
    <col min="11777" max="11777" width="20.28515625" style="501" customWidth="1"/>
    <col min="11778" max="11778" width="83.140625" style="501" customWidth="1"/>
    <col min="11779" max="11781" width="21.42578125" style="501" customWidth="1"/>
    <col min="11782" max="11782" width="19.5703125" style="501" customWidth="1"/>
    <col min="11783" max="11783" width="2.42578125" style="501" customWidth="1"/>
    <col min="11784" max="11785" width="5.140625" style="501" customWidth="1"/>
    <col min="11786" max="12032" width="11.42578125" style="501"/>
    <col min="12033" max="12033" width="20.28515625" style="501" customWidth="1"/>
    <col min="12034" max="12034" width="83.140625" style="501" customWidth="1"/>
    <col min="12035" max="12037" width="21.42578125" style="501" customWidth="1"/>
    <col min="12038" max="12038" width="19.5703125" style="501" customWidth="1"/>
    <col min="12039" max="12039" width="2.42578125" style="501" customWidth="1"/>
    <col min="12040" max="12041" width="5.140625" style="501" customWidth="1"/>
    <col min="12042" max="12288" width="11.42578125" style="501"/>
    <col min="12289" max="12289" width="20.28515625" style="501" customWidth="1"/>
    <col min="12290" max="12290" width="83.140625" style="501" customWidth="1"/>
    <col min="12291" max="12293" width="21.42578125" style="501" customWidth="1"/>
    <col min="12294" max="12294" width="19.5703125" style="501" customWidth="1"/>
    <col min="12295" max="12295" width="2.42578125" style="501" customWidth="1"/>
    <col min="12296" max="12297" width="5.140625" style="501" customWidth="1"/>
    <col min="12298" max="12544" width="11.42578125" style="501"/>
    <col min="12545" max="12545" width="20.28515625" style="501" customWidth="1"/>
    <col min="12546" max="12546" width="83.140625" style="501" customWidth="1"/>
    <col min="12547" max="12549" width="21.42578125" style="501" customWidth="1"/>
    <col min="12550" max="12550" width="19.5703125" style="501" customWidth="1"/>
    <col min="12551" max="12551" width="2.42578125" style="501" customWidth="1"/>
    <col min="12552" max="12553" width="5.140625" style="501" customWidth="1"/>
    <col min="12554" max="12800" width="11.42578125" style="501"/>
    <col min="12801" max="12801" width="20.28515625" style="501" customWidth="1"/>
    <col min="12802" max="12802" width="83.140625" style="501" customWidth="1"/>
    <col min="12803" max="12805" width="21.42578125" style="501" customWidth="1"/>
    <col min="12806" max="12806" width="19.5703125" style="501" customWidth="1"/>
    <col min="12807" max="12807" width="2.42578125" style="501" customWidth="1"/>
    <col min="12808" max="12809" width="5.140625" style="501" customWidth="1"/>
    <col min="12810" max="13056" width="11.42578125" style="501"/>
    <col min="13057" max="13057" width="20.28515625" style="501" customWidth="1"/>
    <col min="13058" max="13058" width="83.140625" style="501" customWidth="1"/>
    <col min="13059" max="13061" width="21.42578125" style="501" customWidth="1"/>
    <col min="13062" max="13062" width="19.5703125" style="501" customWidth="1"/>
    <col min="13063" max="13063" width="2.42578125" style="501" customWidth="1"/>
    <col min="13064" max="13065" width="5.140625" style="501" customWidth="1"/>
    <col min="13066" max="13312" width="11.42578125" style="501"/>
    <col min="13313" max="13313" width="20.28515625" style="501" customWidth="1"/>
    <col min="13314" max="13314" width="83.140625" style="501" customWidth="1"/>
    <col min="13315" max="13317" width="21.42578125" style="501" customWidth="1"/>
    <col min="13318" max="13318" width="19.5703125" style="501" customWidth="1"/>
    <col min="13319" max="13319" width="2.42578125" style="501" customWidth="1"/>
    <col min="13320" max="13321" width="5.140625" style="501" customWidth="1"/>
    <col min="13322" max="13568" width="11.42578125" style="501"/>
    <col min="13569" max="13569" width="20.28515625" style="501" customWidth="1"/>
    <col min="13570" max="13570" width="83.140625" style="501" customWidth="1"/>
    <col min="13571" max="13573" width="21.42578125" style="501" customWidth="1"/>
    <col min="13574" max="13574" width="19.5703125" style="501" customWidth="1"/>
    <col min="13575" max="13575" width="2.42578125" style="501" customWidth="1"/>
    <col min="13576" max="13577" width="5.140625" style="501" customWidth="1"/>
    <col min="13578" max="13824" width="11.42578125" style="501"/>
    <col min="13825" max="13825" width="20.28515625" style="501" customWidth="1"/>
    <col min="13826" max="13826" width="83.140625" style="501" customWidth="1"/>
    <col min="13827" max="13829" width="21.42578125" style="501" customWidth="1"/>
    <col min="13830" max="13830" width="19.5703125" style="501" customWidth="1"/>
    <col min="13831" max="13831" width="2.42578125" style="501" customWidth="1"/>
    <col min="13832" max="13833" width="5.140625" style="501" customWidth="1"/>
    <col min="13834" max="14080" width="11.42578125" style="501"/>
    <col min="14081" max="14081" width="20.28515625" style="501" customWidth="1"/>
    <col min="14082" max="14082" width="83.140625" style="501" customWidth="1"/>
    <col min="14083" max="14085" width="21.42578125" style="501" customWidth="1"/>
    <col min="14086" max="14086" width="19.5703125" style="501" customWidth="1"/>
    <col min="14087" max="14087" width="2.42578125" style="501" customWidth="1"/>
    <col min="14088" max="14089" width="5.140625" style="501" customWidth="1"/>
    <col min="14090" max="14336" width="11.42578125" style="501"/>
    <col min="14337" max="14337" width="20.28515625" style="501" customWidth="1"/>
    <col min="14338" max="14338" width="83.140625" style="501" customWidth="1"/>
    <col min="14339" max="14341" width="21.42578125" style="501" customWidth="1"/>
    <col min="14342" max="14342" width="19.5703125" style="501" customWidth="1"/>
    <col min="14343" max="14343" width="2.42578125" style="501" customWidth="1"/>
    <col min="14344" max="14345" width="5.140625" style="501" customWidth="1"/>
    <col min="14346" max="14592" width="11.42578125" style="501"/>
    <col min="14593" max="14593" width="20.28515625" style="501" customWidth="1"/>
    <col min="14594" max="14594" width="83.140625" style="501" customWidth="1"/>
    <col min="14595" max="14597" width="21.42578125" style="501" customWidth="1"/>
    <col min="14598" max="14598" width="19.5703125" style="501" customWidth="1"/>
    <col min="14599" max="14599" width="2.42578125" style="501" customWidth="1"/>
    <col min="14600" max="14601" width="5.140625" style="501" customWidth="1"/>
    <col min="14602" max="14848" width="11.42578125" style="501"/>
    <col min="14849" max="14849" width="20.28515625" style="501" customWidth="1"/>
    <col min="14850" max="14850" width="83.140625" style="501" customWidth="1"/>
    <col min="14851" max="14853" width="21.42578125" style="501" customWidth="1"/>
    <col min="14854" max="14854" width="19.5703125" style="501" customWidth="1"/>
    <col min="14855" max="14855" width="2.42578125" style="501" customWidth="1"/>
    <col min="14856" max="14857" width="5.140625" style="501" customWidth="1"/>
    <col min="14858" max="15104" width="11.42578125" style="501"/>
    <col min="15105" max="15105" width="20.28515625" style="501" customWidth="1"/>
    <col min="15106" max="15106" width="83.140625" style="501" customWidth="1"/>
    <col min="15107" max="15109" width="21.42578125" style="501" customWidth="1"/>
    <col min="15110" max="15110" width="19.5703125" style="501" customWidth="1"/>
    <col min="15111" max="15111" width="2.42578125" style="501" customWidth="1"/>
    <col min="15112" max="15113" width="5.140625" style="501" customWidth="1"/>
    <col min="15114" max="15360" width="11.42578125" style="501"/>
    <col min="15361" max="15361" width="20.28515625" style="501" customWidth="1"/>
    <col min="15362" max="15362" width="83.140625" style="501" customWidth="1"/>
    <col min="15363" max="15365" width="21.42578125" style="501" customWidth="1"/>
    <col min="15366" max="15366" width="19.5703125" style="501" customWidth="1"/>
    <col min="15367" max="15367" width="2.42578125" style="501" customWidth="1"/>
    <col min="15368" max="15369" width="5.140625" style="501" customWidth="1"/>
    <col min="15370" max="15616" width="11.42578125" style="501"/>
    <col min="15617" max="15617" width="20.28515625" style="501" customWidth="1"/>
    <col min="15618" max="15618" width="83.140625" style="501" customWidth="1"/>
    <col min="15619" max="15621" width="21.42578125" style="501" customWidth="1"/>
    <col min="15622" max="15622" width="19.5703125" style="501" customWidth="1"/>
    <col min="15623" max="15623" width="2.42578125" style="501" customWidth="1"/>
    <col min="15624" max="15625" width="5.140625" style="501" customWidth="1"/>
    <col min="15626" max="15872" width="11.42578125" style="501"/>
    <col min="15873" max="15873" width="20.28515625" style="501" customWidth="1"/>
    <col min="15874" max="15874" width="83.140625" style="501" customWidth="1"/>
    <col min="15875" max="15877" width="21.42578125" style="501" customWidth="1"/>
    <col min="15878" max="15878" width="19.5703125" style="501" customWidth="1"/>
    <col min="15879" max="15879" width="2.42578125" style="501" customWidth="1"/>
    <col min="15880" max="15881" width="5.140625" style="501" customWidth="1"/>
    <col min="15882" max="16128" width="11.42578125" style="501"/>
    <col min="16129" max="16129" width="20.28515625" style="501" customWidth="1"/>
    <col min="16130" max="16130" width="83.140625" style="501" customWidth="1"/>
    <col min="16131" max="16133" width="21.42578125" style="501" customWidth="1"/>
    <col min="16134" max="16134" width="19.5703125" style="501" customWidth="1"/>
    <col min="16135" max="16135" width="2.42578125" style="501" customWidth="1"/>
    <col min="16136" max="16137" width="5.140625" style="501" customWidth="1"/>
    <col min="16138" max="16384" width="11.42578125" style="501"/>
  </cols>
  <sheetData>
    <row r="1" spans="1:7" ht="12.75" x14ac:dyDescent="0.2">
      <c r="A1" s="256" t="s">
        <v>0</v>
      </c>
      <c r="B1" s="257"/>
      <c r="C1" s="577" t="s">
        <v>1</v>
      </c>
      <c r="D1" s="578"/>
      <c r="E1" s="579"/>
      <c r="F1" s="258"/>
    </row>
    <row r="2" spans="1:7" ht="12.75" x14ac:dyDescent="0.2">
      <c r="A2" s="256" t="str">
        <f>CONCATENATE("COMUNA: ",[8]NOMBRE!B2," - ","( ",[8]NOMBRE!C2,[8]NOMBRE!D2,[8]NOMBRE!E2,[8]NOMBRE!F2,[8]NOMBRE!G2," )")</f>
        <v>COMUNA: LINARES  - ( 07401 )</v>
      </c>
      <c r="B2" s="257"/>
      <c r="C2" s="580"/>
      <c r="D2" s="581"/>
      <c r="E2" s="582"/>
      <c r="F2" s="259"/>
      <c r="G2" s="260"/>
    </row>
    <row r="3" spans="1:7" ht="12.75" x14ac:dyDescent="0.2">
      <c r="A3" s="256" t="str">
        <f>CONCATENATE("ESTABLECIMIENTO/ESTRATEGIA: ",[8]NOMBRE!B3," - ","( ",[8]NOMBRE!C3,[8]NOMBRE!D3,[8]NOMBRE!E3,[8]NOMBRE!F3,[8]NOMBRE!G3,[8]NOMBRE!H3," )")</f>
        <v>ESTABLECIMIENTO/ESTRATEGIA: HOSPITAL DE LINARES  - ( 116108 )</v>
      </c>
      <c r="B3" s="257"/>
      <c r="C3" s="577" t="s">
        <v>2</v>
      </c>
      <c r="D3" s="578"/>
      <c r="E3" s="579"/>
      <c r="F3" s="259"/>
      <c r="G3" s="261"/>
    </row>
    <row r="4" spans="1:7" ht="12.75" x14ac:dyDescent="0.2">
      <c r="A4" s="256" t="str">
        <f>CONCATENATE("MES: ",[8]NOMBRE!B6," - ","( ",[8]NOMBRE!C6,[8]NOMBRE!D6," )")</f>
        <v>MES: AGOSTO - ( 08 )</v>
      </c>
      <c r="B4" s="257"/>
      <c r="C4" s="580" t="str">
        <f>CONCATENATE([8]NOMBRE!B6," ","( ",[8]NOMBRE!C6,[8]NOMBRE!D6," )")</f>
        <v>AGOSTO ( 08 )</v>
      </c>
      <c r="D4" s="581"/>
      <c r="E4" s="582"/>
      <c r="F4" s="259"/>
      <c r="G4" s="261"/>
    </row>
    <row r="5" spans="1:7" ht="12.75" x14ac:dyDescent="0.2">
      <c r="A5" s="256" t="str">
        <f>CONCATENATE("AÑO: ",[8]NOMBRE!B7)</f>
        <v>AÑO: 2014</v>
      </c>
      <c r="B5" s="257"/>
      <c r="C5" s="577" t="s">
        <v>3</v>
      </c>
      <c r="D5" s="578"/>
      <c r="E5" s="579"/>
      <c r="F5" s="259"/>
      <c r="G5" s="261"/>
    </row>
    <row r="6" spans="1:7" ht="12.75" x14ac:dyDescent="0.2">
      <c r="A6" s="262"/>
      <c r="B6" s="262"/>
      <c r="C6" s="580">
        <f>[8]NOMBRE!B7</f>
        <v>2014</v>
      </c>
      <c r="D6" s="581"/>
      <c r="E6" s="582"/>
      <c r="F6" s="259"/>
      <c r="G6" s="261"/>
    </row>
    <row r="7" spans="1:7" ht="15" x14ac:dyDescent="0.2">
      <c r="A7" s="589" t="s">
        <v>4</v>
      </c>
      <c r="B7" s="590"/>
      <c r="C7" s="594" t="s">
        <v>5</v>
      </c>
      <c r="D7" s="595"/>
      <c r="E7" s="596"/>
      <c r="F7" s="259"/>
      <c r="G7" s="261"/>
    </row>
    <row r="8" spans="1:7" ht="15" x14ac:dyDescent="0.2">
      <c r="A8" s="262"/>
      <c r="B8" s="507" t="s">
        <v>6</v>
      </c>
      <c r="C8" s="580" t="str">
        <f>CONCATENATE([8]NOMBRE!B3," ","( ",[8]NOMBRE!C3,[8]NOMBRE!D3,[8]NOMBRE!E3,[8]NOMBRE!F3,[8]NOMBRE!G3," )")</f>
        <v>HOSPITAL DE LINARES  ( 11610 )</v>
      </c>
      <c r="D8" s="581"/>
      <c r="E8" s="582"/>
      <c r="F8" s="259"/>
      <c r="G8" s="261"/>
    </row>
    <row r="9" spans="1:7" ht="12.75" x14ac:dyDescent="0.2">
      <c r="A9" s="262"/>
      <c r="B9" s="262"/>
      <c r="C9" s="262"/>
      <c r="D9" s="262"/>
      <c r="E9" s="262"/>
      <c r="F9" s="259"/>
      <c r="G9" s="261"/>
    </row>
    <row r="10" spans="1:7" ht="12.75" x14ac:dyDescent="0.2">
      <c r="A10" s="262"/>
      <c r="B10" s="262"/>
      <c r="C10" s="262"/>
      <c r="D10" s="262"/>
      <c r="E10" s="262"/>
      <c r="F10" s="259"/>
      <c r="G10" s="263"/>
    </row>
    <row r="11" spans="1:7" ht="12.75" x14ac:dyDescent="0.2">
      <c r="A11" s="583" t="s">
        <v>7</v>
      </c>
      <c r="B11" s="584"/>
      <c r="C11" s="584"/>
      <c r="D11" s="584"/>
      <c r="E11" s="585"/>
      <c r="F11" s="259"/>
    </row>
    <row r="12" spans="1:7" ht="43.5" customHeight="1" x14ac:dyDescent="0.2">
      <c r="A12" s="264" t="s">
        <v>8</v>
      </c>
      <c r="B12" s="264" t="s">
        <v>9</v>
      </c>
      <c r="C12" s="504" t="s">
        <v>10</v>
      </c>
      <c r="D12" s="310" t="s">
        <v>11</v>
      </c>
      <c r="E12" s="506" t="s">
        <v>12</v>
      </c>
      <c r="F12" s="262"/>
    </row>
    <row r="13" spans="1:7" ht="12.75" customHeight="1" x14ac:dyDescent="0.2">
      <c r="A13" s="586" t="s">
        <v>13</v>
      </c>
      <c r="B13" s="587"/>
      <c r="C13" s="587"/>
      <c r="D13" s="587"/>
      <c r="E13" s="588"/>
      <c r="F13" s="262"/>
    </row>
    <row r="14" spans="1:7" ht="15" customHeight="1" x14ac:dyDescent="0.2">
      <c r="A14" s="434" t="s">
        <v>14</v>
      </c>
      <c r="B14" s="443" t="s">
        <v>15</v>
      </c>
      <c r="C14" s="380">
        <f>[8]BS17A!$D13</f>
        <v>0</v>
      </c>
      <c r="D14" s="267">
        <f>[8]BS17A!$U13</f>
        <v>4170</v>
      </c>
      <c r="E14" s="268">
        <f>[8]BS17A!$V13</f>
        <v>0</v>
      </c>
      <c r="F14" s="262"/>
    </row>
    <row r="15" spans="1:7" ht="15" customHeight="1" x14ac:dyDescent="0.2">
      <c r="A15" s="435" t="s">
        <v>16</v>
      </c>
      <c r="B15" s="431" t="s">
        <v>17</v>
      </c>
      <c r="C15" s="380">
        <f>[8]BS17A!$D14</f>
        <v>0</v>
      </c>
      <c r="D15" s="270">
        <f>[8]BS17A!$U14</f>
        <v>5240</v>
      </c>
      <c r="E15" s="271">
        <f>[8]BS17A!$V14</f>
        <v>0</v>
      </c>
      <c r="F15" s="262"/>
    </row>
    <row r="16" spans="1:7" ht="15" customHeight="1" x14ac:dyDescent="0.2">
      <c r="A16" s="435" t="s">
        <v>18</v>
      </c>
      <c r="B16" s="431" t="s">
        <v>19</v>
      </c>
      <c r="C16" s="380">
        <f>[8]BS17A!$D15</f>
        <v>6223</v>
      </c>
      <c r="D16" s="270">
        <f>[8]BS17A!$U15</f>
        <v>11250</v>
      </c>
      <c r="E16" s="271">
        <f>[8]BS17A!$V15</f>
        <v>70008750</v>
      </c>
      <c r="F16" s="262"/>
    </row>
    <row r="17" spans="1:6" ht="15" customHeight="1" x14ac:dyDescent="0.2">
      <c r="A17" s="435" t="s">
        <v>20</v>
      </c>
      <c r="B17" s="431" t="s">
        <v>21</v>
      </c>
      <c r="C17" s="380">
        <f>[8]BS17A!$D16</f>
        <v>0</v>
      </c>
      <c r="D17" s="270">
        <f>[8]BS17A!$U16</f>
        <v>6720</v>
      </c>
      <c r="E17" s="271">
        <f>[8]BS17A!$V16</f>
        <v>0</v>
      </c>
      <c r="F17" s="262"/>
    </row>
    <row r="18" spans="1:6" ht="15" customHeight="1" x14ac:dyDescent="0.2">
      <c r="A18" s="435" t="s">
        <v>22</v>
      </c>
      <c r="B18" s="431" t="s">
        <v>23</v>
      </c>
      <c r="C18" s="380">
        <f>[8]BS17A!$D17</f>
        <v>0</v>
      </c>
      <c r="D18" s="270">
        <f>[8]BS17A!$U17</f>
        <v>7370</v>
      </c>
      <c r="E18" s="271">
        <f>[8]BS17A!$V17</f>
        <v>0</v>
      </c>
      <c r="F18" s="262"/>
    </row>
    <row r="19" spans="1:6" ht="33" customHeight="1" x14ac:dyDescent="0.2">
      <c r="A19" s="435" t="s">
        <v>24</v>
      </c>
      <c r="B19" s="485" t="s">
        <v>25</v>
      </c>
      <c r="C19" s="380">
        <f>[8]BS17A!$D20</f>
        <v>0</v>
      </c>
      <c r="D19" s="270">
        <f>[8]BS17A!$U20</f>
        <v>5690</v>
      </c>
      <c r="E19" s="271">
        <f>[8]BS17A!$V20</f>
        <v>0</v>
      </c>
      <c r="F19" s="262"/>
    </row>
    <row r="20" spans="1:6" ht="42.75" customHeight="1" x14ac:dyDescent="0.2">
      <c r="A20" s="435" t="s">
        <v>26</v>
      </c>
      <c r="B20" s="485" t="s">
        <v>27</v>
      </c>
      <c r="C20" s="380">
        <f>[8]BS17A!$D21</f>
        <v>0</v>
      </c>
      <c r="D20" s="270">
        <f>[8]BS17A!$U21</f>
        <v>6820</v>
      </c>
      <c r="E20" s="271">
        <f>[8]BS17A!$V21</f>
        <v>0</v>
      </c>
      <c r="F20" s="262"/>
    </row>
    <row r="21" spans="1:6" ht="42.75" customHeight="1" x14ac:dyDescent="0.2">
      <c r="A21" s="435" t="s">
        <v>28</v>
      </c>
      <c r="B21" s="485" t="s">
        <v>29</v>
      </c>
      <c r="C21" s="380">
        <f>[8]BS17A!$D22</f>
        <v>0</v>
      </c>
      <c r="D21" s="270">
        <f>[8]BS17A!$U22</f>
        <v>8460</v>
      </c>
      <c r="E21" s="271">
        <f>[8]BS17A!$V22</f>
        <v>0</v>
      </c>
      <c r="F21" s="262"/>
    </row>
    <row r="22" spans="1:6" ht="32.25" customHeight="1" x14ac:dyDescent="0.2">
      <c r="A22" s="435" t="s">
        <v>30</v>
      </c>
      <c r="B22" s="485" t="s">
        <v>31</v>
      </c>
      <c r="C22" s="380">
        <f>[8]BS17A!$D23</f>
        <v>2241</v>
      </c>
      <c r="D22" s="270">
        <f>[8]BS17A!$U23</f>
        <v>5690</v>
      </c>
      <c r="E22" s="271">
        <f>[8]BS17A!$V23</f>
        <v>12751290</v>
      </c>
      <c r="F22" s="262"/>
    </row>
    <row r="23" spans="1:6" ht="40.5" customHeight="1" x14ac:dyDescent="0.2">
      <c r="A23" s="435" t="s">
        <v>32</v>
      </c>
      <c r="B23" s="485" t="s">
        <v>33</v>
      </c>
      <c r="C23" s="380">
        <f>[8]BS17A!$D24</f>
        <v>1528</v>
      </c>
      <c r="D23" s="270">
        <f>[8]BS17A!$U24</f>
        <v>6820</v>
      </c>
      <c r="E23" s="271">
        <f>[8]BS17A!$V24</f>
        <v>10420960</v>
      </c>
      <c r="F23" s="262"/>
    </row>
    <row r="24" spans="1:6" ht="27" customHeight="1" x14ac:dyDescent="0.2">
      <c r="A24" s="435" t="s">
        <v>34</v>
      </c>
      <c r="B24" s="485" t="s">
        <v>35</v>
      </c>
      <c r="C24" s="380">
        <f>[8]BS17A!$D25</f>
        <v>2397</v>
      </c>
      <c r="D24" s="270">
        <f>[8]BS17A!$U25</f>
        <v>8460</v>
      </c>
      <c r="E24" s="271">
        <f>[8]BS17A!$V25</f>
        <v>20278620</v>
      </c>
      <c r="F24" s="262"/>
    </row>
    <row r="25" spans="1:6" ht="15" customHeight="1" x14ac:dyDescent="0.2">
      <c r="A25" s="435" t="s">
        <v>36</v>
      </c>
      <c r="B25" s="430" t="s">
        <v>37</v>
      </c>
      <c r="C25" s="380">
        <f>+[8]BS17A!$D795</f>
        <v>205</v>
      </c>
      <c r="D25" s="270">
        <f>+[8]BS17A!$U795</f>
        <v>6900</v>
      </c>
      <c r="E25" s="271">
        <f>+[8]BS17A!$V795</f>
        <v>1414500</v>
      </c>
      <c r="F25" s="262"/>
    </row>
    <row r="26" spans="1:6" ht="15" customHeight="1" x14ac:dyDescent="0.2">
      <c r="A26" s="436" t="s">
        <v>38</v>
      </c>
      <c r="B26" s="450" t="s">
        <v>39</v>
      </c>
      <c r="C26" s="395">
        <f>+[8]BS17A!$D800</f>
        <v>0</v>
      </c>
      <c r="D26" s="272">
        <f>+[8]BS17A!$U800</f>
        <v>28580</v>
      </c>
      <c r="E26" s="273">
        <f>+[8]BS17A!$V800</f>
        <v>0</v>
      </c>
      <c r="F26" s="262"/>
    </row>
    <row r="27" spans="1:6" ht="18" customHeight="1" x14ac:dyDescent="0.2">
      <c r="A27" s="586" t="s">
        <v>40</v>
      </c>
      <c r="B27" s="587"/>
      <c r="C27" s="587"/>
      <c r="D27" s="587"/>
      <c r="E27" s="588"/>
      <c r="F27" s="262"/>
    </row>
    <row r="28" spans="1:6" ht="15" customHeight="1" x14ac:dyDescent="0.2">
      <c r="A28" s="434" t="s">
        <v>41</v>
      </c>
      <c r="B28" s="443" t="s">
        <v>42</v>
      </c>
      <c r="C28" s="383">
        <f>[8]BS17A!$D27</f>
        <v>1734</v>
      </c>
      <c r="D28" s="267">
        <f>[8]BS17A!$U27</f>
        <v>1110</v>
      </c>
      <c r="E28" s="268">
        <f>[8]BS17A!$V27</f>
        <v>1924740</v>
      </c>
      <c r="F28" s="262"/>
    </row>
    <row r="29" spans="1:6" ht="15" customHeight="1" x14ac:dyDescent="0.2">
      <c r="A29" s="435" t="s">
        <v>43</v>
      </c>
      <c r="B29" s="449" t="s">
        <v>44</v>
      </c>
      <c r="C29" s="380">
        <f>[8]BS17A!$D28</f>
        <v>0</v>
      </c>
      <c r="D29" s="270">
        <f>[8]BS17A!$U28</f>
        <v>1900</v>
      </c>
      <c r="E29" s="271">
        <f>[8]BS17A!$V28</f>
        <v>0</v>
      </c>
      <c r="F29" s="262"/>
    </row>
    <row r="30" spans="1:6" ht="15" customHeight="1" x14ac:dyDescent="0.2">
      <c r="A30" s="435" t="s">
        <v>45</v>
      </c>
      <c r="B30" s="431" t="s">
        <v>46</v>
      </c>
      <c r="C30" s="380">
        <f>[8]BS17A!$D29</f>
        <v>0</v>
      </c>
      <c r="D30" s="270">
        <f>[8]BS17A!$U29</f>
        <v>610</v>
      </c>
      <c r="E30" s="271">
        <f>[8]BS17A!$V29</f>
        <v>0</v>
      </c>
      <c r="F30" s="262"/>
    </row>
    <row r="31" spans="1:6" ht="15" customHeight="1" x14ac:dyDescent="0.2">
      <c r="A31" s="435" t="s">
        <v>47</v>
      </c>
      <c r="B31" s="431" t="s">
        <v>48</v>
      </c>
      <c r="C31" s="380">
        <f>[8]BS17A!$D30</f>
        <v>130</v>
      </c>
      <c r="D31" s="270">
        <f>[8]BS17A!$U30</f>
        <v>1500</v>
      </c>
      <c r="E31" s="271">
        <f>[8]BS17A!$V30</f>
        <v>195000</v>
      </c>
      <c r="F31" s="262"/>
    </row>
    <row r="32" spans="1:6" ht="15" customHeight="1" x14ac:dyDescent="0.2">
      <c r="A32" s="435" t="s">
        <v>49</v>
      </c>
      <c r="B32" s="431" t="s">
        <v>50</v>
      </c>
      <c r="C32" s="380">
        <f>[8]BS17A!$D31</f>
        <v>2800</v>
      </c>
      <c r="D32" s="270">
        <f>[8]BS17A!$U31</f>
        <v>1210</v>
      </c>
      <c r="E32" s="271">
        <f>[8]BS17A!$V31</f>
        <v>3388000</v>
      </c>
      <c r="F32" s="262"/>
    </row>
    <row r="33" spans="1:6" ht="15" customHeight="1" x14ac:dyDescent="0.2">
      <c r="A33" s="435" t="s">
        <v>51</v>
      </c>
      <c r="B33" s="449" t="s">
        <v>52</v>
      </c>
      <c r="C33" s="380">
        <f>[8]BS17A!$D32</f>
        <v>0</v>
      </c>
      <c r="D33" s="270">
        <f>[8]BS17A!$U32</f>
        <v>1110</v>
      </c>
      <c r="E33" s="271">
        <f>[8]BS17A!$V32</f>
        <v>0</v>
      </c>
      <c r="F33" s="262"/>
    </row>
    <row r="34" spans="1:6" ht="15" customHeight="1" x14ac:dyDescent="0.2">
      <c r="A34" s="435" t="s">
        <v>53</v>
      </c>
      <c r="B34" s="431" t="s">
        <v>54</v>
      </c>
      <c r="C34" s="380">
        <f>+[8]BS17A!$D796</f>
        <v>58</v>
      </c>
      <c r="D34" s="270">
        <f>+[8]BS17A!$U796</f>
        <v>2700</v>
      </c>
      <c r="E34" s="271">
        <f>+[8]BS17A!$V796</f>
        <v>156600</v>
      </c>
      <c r="F34" s="262"/>
    </row>
    <row r="35" spans="1:6" ht="15" customHeight="1" x14ac:dyDescent="0.2">
      <c r="A35" s="435" t="s">
        <v>55</v>
      </c>
      <c r="B35" s="449" t="s">
        <v>56</v>
      </c>
      <c r="C35" s="380">
        <f>+[8]BS17A!$D797</f>
        <v>524</v>
      </c>
      <c r="D35" s="270">
        <f>+[8]BS17A!$U797</f>
        <v>2700</v>
      </c>
      <c r="E35" s="271">
        <f>+[8]BS17A!$V797</f>
        <v>1414800</v>
      </c>
      <c r="F35" s="262"/>
    </row>
    <row r="36" spans="1:6" ht="15" customHeight="1" x14ac:dyDescent="0.2">
      <c r="A36" s="435" t="s">
        <v>57</v>
      </c>
      <c r="B36" s="449" t="s">
        <v>58</v>
      </c>
      <c r="C36" s="380">
        <f>+[8]BS17A!$D798</f>
        <v>4</v>
      </c>
      <c r="D36" s="270">
        <f>+[8]BS17A!$U798</f>
        <v>10760</v>
      </c>
      <c r="E36" s="271">
        <f>+[8]BS17A!$V798</f>
        <v>43040</v>
      </c>
      <c r="F36" s="262"/>
    </row>
    <row r="37" spans="1:6" ht="15" customHeight="1" x14ac:dyDescent="0.2">
      <c r="A37" s="436" t="s">
        <v>59</v>
      </c>
      <c r="B37" s="484" t="s">
        <v>60</v>
      </c>
      <c r="C37" s="395">
        <f>+[8]BS17A!$D799</f>
        <v>41</v>
      </c>
      <c r="D37" s="272">
        <f>+[8]BS17A!$U799</f>
        <v>12600</v>
      </c>
      <c r="E37" s="273">
        <f>+[8]BS17A!$V799</f>
        <v>516600</v>
      </c>
      <c r="F37" s="262"/>
    </row>
    <row r="38" spans="1:6" ht="18" customHeight="1" x14ac:dyDescent="0.2">
      <c r="A38" s="591" t="s">
        <v>61</v>
      </c>
      <c r="B38" s="592"/>
      <c r="C38" s="592"/>
      <c r="D38" s="592"/>
      <c r="E38" s="593"/>
      <c r="F38" s="262"/>
    </row>
    <row r="39" spans="1:6" ht="15" customHeight="1" x14ac:dyDescent="0.2">
      <c r="A39" s="434" t="s">
        <v>62</v>
      </c>
      <c r="B39" s="429" t="s">
        <v>63</v>
      </c>
      <c r="C39" s="383">
        <f>+[8]BS17A!$D801</f>
        <v>0</v>
      </c>
      <c r="D39" s="275">
        <f>+[8]BS17A!$U801</f>
        <v>3550</v>
      </c>
      <c r="E39" s="276">
        <f>+[8]BS17A!$V801</f>
        <v>0</v>
      </c>
      <c r="F39" s="262"/>
    </row>
    <row r="40" spans="1:6" ht="15" customHeight="1" x14ac:dyDescent="0.2">
      <c r="A40" s="436" t="s">
        <v>64</v>
      </c>
      <c r="B40" s="444" t="s">
        <v>65</v>
      </c>
      <c r="C40" s="395">
        <f>+[8]BS17A!$D802</f>
        <v>0</v>
      </c>
      <c r="D40" s="277">
        <f>+[8]BS17A!$U802</f>
        <v>9180</v>
      </c>
      <c r="E40" s="278">
        <f>+[8]BS17A!$V802</f>
        <v>0</v>
      </c>
      <c r="F40" s="262"/>
    </row>
    <row r="41" spans="1:6" ht="18" customHeight="1" x14ac:dyDescent="0.2">
      <c r="A41" s="591" t="s">
        <v>66</v>
      </c>
      <c r="B41" s="592"/>
      <c r="C41" s="592"/>
      <c r="D41" s="592"/>
      <c r="E41" s="593"/>
      <c r="F41" s="262"/>
    </row>
    <row r="42" spans="1:6" ht="15" customHeight="1" x14ac:dyDescent="0.2">
      <c r="A42" s="434" t="s">
        <v>67</v>
      </c>
      <c r="B42" s="451" t="s">
        <v>68</v>
      </c>
      <c r="C42" s="383">
        <f>+[8]BS17A!$D34</f>
        <v>30</v>
      </c>
      <c r="D42" s="275">
        <f>+[8]BS17A!$U34</f>
        <v>3640</v>
      </c>
      <c r="E42" s="276">
        <f>+[8]BS17A!$V34</f>
        <v>109200</v>
      </c>
      <c r="F42" s="262"/>
    </row>
    <row r="43" spans="1:6" ht="15" customHeight="1" x14ac:dyDescent="0.2">
      <c r="A43" s="435" t="s">
        <v>69</v>
      </c>
      <c r="B43" s="431" t="s">
        <v>70</v>
      </c>
      <c r="C43" s="380">
        <f>+[8]BS17A!$D35</f>
        <v>643</v>
      </c>
      <c r="D43" s="270">
        <f>+[8]BS17A!$U35</f>
        <v>2000</v>
      </c>
      <c r="E43" s="271">
        <f>+[8]BS17A!$V35</f>
        <v>1286000</v>
      </c>
      <c r="F43" s="262"/>
    </row>
    <row r="44" spans="1:6" ht="15" customHeight="1" x14ac:dyDescent="0.2">
      <c r="A44" s="435" t="s">
        <v>71</v>
      </c>
      <c r="B44" s="431" t="s">
        <v>72</v>
      </c>
      <c r="C44" s="380">
        <f>+[8]BS17A!$D36</f>
        <v>1</v>
      </c>
      <c r="D44" s="270">
        <f>+[8]BS17A!$U36</f>
        <v>2000</v>
      </c>
      <c r="E44" s="271">
        <f>+[8]BS17A!$V36</f>
        <v>2000</v>
      </c>
      <c r="F44" s="262"/>
    </row>
    <row r="45" spans="1:6" ht="15" customHeight="1" x14ac:dyDescent="0.2">
      <c r="A45" s="436" t="s">
        <v>73</v>
      </c>
      <c r="B45" s="432" t="s">
        <v>74</v>
      </c>
      <c r="C45" s="395">
        <f>+[8]BS17A!$D37</f>
        <v>613</v>
      </c>
      <c r="D45" s="277">
        <f>+[8]BS17A!$U37</f>
        <v>610</v>
      </c>
      <c r="E45" s="278">
        <f>+[8]BS17A!$V37</f>
        <v>373930</v>
      </c>
      <c r="F45" s="262"/>
    </row>
    <row r="46" spans="1:6" ht="18" customHeight="1" x14ac:dyDescent="0.2">
      <c r="A46" s="591" t="s">
        <v>75</v>
      </c>
      <c r="B46" s="592"/>
      <c r="C46" s="592"/>
      <c r="D46" s="592"/>
      <c r="E46" s="593"/>
      <c r="F46" s="262"/>
    </row>
    <row r="47" spans="1:6" ht="15" customHeight="1" x14ac:dyDescent="0.2">
      <c r="A47" s="434" t="s">
        <v>76</v>
      </c>
      <c r="B47" s="451" t="s">
        <v>77</v>
      </c>
      <c r="C47" s="383">
        <f>+[8]BS17A!$D39</f>
        <v>5</v>
      </c>
      <c r="D47" s="275">
        <f>+[8]BS17A!$U39</f>
        <v>1730</v>
      </c>
      <c r="E47" s="276">
        <f>+[8]BS17A!$V39</f>
        <v>8650</v>
      </c>
      <c r="F47" s="262"/>
    </row>
    <row r="48" spans="1:6" ht="15" customHeight="1" x14ac:dyDescent="0.2">
      <c r="A48" s="435" t="s">
        <v>78</v>
      </c>
      <c r="B48" s="431" t="s">
        <v>79</v>
      </c>
      <c r="C48" s="380">
        <f>+[8]BS17A!$D40</f>
        <v>20</v>
      </c>
      <c r="D48" s="270">
        <f>+[8]BS17A!$U40</f>
        <v>1730</v>
      </c>
      <c r="E48" s="271">
        <f>+[8]BS17A!$V40</f>
        <v>34600</v>
      </c>
      <c r="F48" s="262"/>
    </row>
    <row r="49" spans="1:7" ht="15" customHeight="1" x14ac:dyDescent="0.2">
      <c r="A49" s="436" t="s">
        <v>80</v>
      </c>
      <c r="B49" s="432" t="s">
        <v>81</v>
      </c>
      <c r="C49" s="395">
        <f>+[8]BS17A!$D41</f>
        <v>0</v>
      </c>
      <c r="D49" s="277">
        <f>+[8]BS17A!$U41</f>
        <v>1000</v>
      </c>
      <c r="E49" s="278">
        <f>+[8]BS17A!$V41</f>
        <v>0</v>
      </c>
      <c r="F49" s="262"/>
    </row>
    <row r="50" spans="1:7" ht="18" customHeight="1" x14ac:dyDescent="0.2">
      <c r="A50" s="279"/>
      <c r="B50" s="411" t="s">
        <v>82</v>
      </c>
      <c r="C50" s="279">
        <f>SUM(C14:C49)</f>
        <v>19197</v>
      </c>
      <c r="D50" s="280"/>
      <c r="E50" s="281">
        <f>SUM(E14:E49)</f>
        <v>124327280</v>
      </c>
      <c r="F50" s="262"/>
    </row>
    <row r="51" spans="1:7" ht="18" customHeight="1" x14ac:dyDescent="0.2">
      <c r="A51" s="282"/>
      <c r="B51" s="282"/>
      <c r="C51" s="282"/>
      <c r="D51" s="283"/>
      <c r="E51" s="284"/>
      <c r="F51" s="262"/>
    </row>
    <row r="52" spans="1:7" ht="12.75" x14ac:dyDescent="0.2">
      <c r="A52" s="262"/>
      <c r="B52" s="262"/>
      <c r="C52" s="262"/>
      <c r="D52" s="262"/>
      <c r="E52" s="262"/>
      <c r="F52" s="285"/>
      <c r="G52" s="286"/>
    </row>
    <row r="53" spans="1:7" ht="12.75" x14ac:dyDescent="0.2">
      <c r="A53" s="591" t="s">
        <v>83</v>
      </c>
      <c r="B53" s="592"/>
      <c r="C53" s="592"/>
      <c r="D53" s="592"/>
      <c r="E53" s="593"/>
      <c r="F53" s="285"/>
      <c r="G53" s="286"/>
    </row>
    <row r="54" spans="1:7" ht="42.75" customHeight="1" x14ac:dyDescent="0.2">
      <c r="A54" s="264" t="s">
        <v>8</v>
      </c>
      <c r="B54" s="264" t="s">
        <v>84</v>
      </c>
      <c r="C54" s="504" t="s">
        <v>10</v>
      </c>
      <c r="D54" s="311"/>
      <c r="E54" s="506" t="s">
        <v>12</v>
      </c>
      <c r="F54" s="262"/>
    </row>
    <row r="55" spans="1:7" ht="18" customHeight="1" x14ac:dyDescent="0.2">
      <c r="A55" s="509" t="s">
        <v>85</v>
      </c>
      <c r="B55" s="474" t="s">
        <v>86</v>
      </c>
      <c r="C55" s="316">
        <f>+[8]BS17!$D12</f>
        <v>60655</v>
      </c>
      <c r="D55" s="288"/>
      <c r="E55" s="289">
        <f>+E56+E57+E58+E59+E60+E61+E65+E66+E67</f>
        <v>86641520</v>
      </c>
      <c r="F55" s="262"/>
    </row>
    <row r="56" spans="1:7" ht="15" customHeight="1" x14ac:dyDescent="0.2">
      <c r="A56" s="472" t="s">
        <v>87</v>
      </c>
      <c r="B56" s="443" t="s">
        <v>88</v>
      </c>
      <c r="C56" s="426">
        <f>+[8]BS17!$D13</f>
        <v>23728</v>
      </c>
      <c r="D56" s="290"/>
      <c r="E56" s="291">
        <f>+[8]BS17A!V83</f>
        <v>24984820</v>
      </c>
      <c r="F56" s="262"/>
    </row>
    <row r="57" spans="1:7" ht="15" customHeight="1" x14ac:dyDescent="0.2">
      <c r="A57" s="435" t="s">
        <v>89</v>
      </c>
      <c r="B57" s="430" t="s">
        <v>90</v>
      </c>
      <c r="C57" s="380">
        <f>+[8]BS17!$D14</f>
        <v>25047</v>
      </c>
      <c r="D57" s="293"/>
      <c r="E57" s="294">
        <f>+[8]BS17A!V174</f>
        <v>30080900</v>
      </c>
      <c r="F57" s="262"/>
    </row>
    <row r="58" spans="1:7" ht="15" customHeight="1" x14ac:dyDescent="0.2">
      <c r="A58" s="435" t="s">
        <v>91</v>
      </c>
      <c r="B58" s="430" t="s">
        <v>92</v>
      </c>
      <c r="C58" s="380">
        <f>+[8]BS17!$D15</f>
        <v>1327</v>
      </c>
      <c r="D58" s="293"/>
      <c r="E58" s="294">
        <f>+[8]BS17A!V243</f>
        <v>4632450</v>
      </c>
      <c r="F58" s="262"/>
    </row>
    <row r="59" spans="1:7" ht="15" customHeight="1" x14ac:dyDescent="0.2">
      <c r="A59" s="435" t="s">
        <v>93</v>
      </c>
      <c r="B59" s="430" t="s">
        <v>94</v>
      </c>
      <c r="C59" s="380">
        <f>+[8]BS17!$D16</f>
        <v>0</v>
      </c>
      <c r="D59" s="293"/>
      <c r="E59" s="294">
        <f>+[8]BS17A!V289</f>
        <v>0</v>
      </c>
      <c r="F59" s="262"/>
    </row>
    <row r="60" spans="1:7" ht="15" customHeight="1" x14ac:dyDescent="0.2">
      <c r="A60" s="467" t="s">
        <v>95</v>
      </c>
      <c r="B60" s="450" t="s">
        <v>96</v>
      </c>
      <c r="C60" s="410">
        <f>+[8]BS17!$D17</f>
        <v>1553</v>
      </c>
      <c r="D60" s="295"/>
      <c r="E60" s="296">
        <f>+[8]BS17A!V295</f>
        <v>7285670</v>
      </c>
      <c r="F60" s="262"/>
    </row>
    <row r="61" spans="1:7" ht="15" customHeight="1" x14ac:dyDescent="0.2">
      <c r="A61" s="434" t="s">
        <v>97</v>
      </c>
      <c r="B61" s="475" t="s">
        <v>98</v>
      </c>
      <c r="C61" s="412">
        <f>+[8]BS17!$D18</f>
        <v>6120</v>
      </c>
      <c r="D61" s="297"/>
      <c r="E61" s="298">
        <f>SUM(E62:E64)</f>
        <v>16116810</v>
      </c>
      <c r="F61" s="262"/>
    </row>
    <row r="62" spans="1:7" ht="15" customHeight="1" x14ac:dyDescent="0.2">
      <c r="A62" s="478"/>
      <c r="B62" s="451" t="s">
        <v>99</v>
      </c>
      <c r="C62" s="383">
        <f>+[8]BS17!$D19</f>
        <v>4768</v>
      </c>
      <c r="D62" s="299"/>
      <c r="E62" s="300">
        <f>+[8]BS17A!V362</f>
        <v>10772940</v>
      </c>
      <c r="F62" s="262"/>
    </row>
    <row r="63" spans="1:7" ht="15" customHeight="1" x14ac:dyDescent="0.2">
      <c r="A63" s="478"/>
      <c r="B63" s="430" t="s">
        <v>100</v>
      </c>
      <c r="C63" s="380">
        <f>+[8]BS17!$D20</f>
        <v>48</v>
      </c>
      <c r="D63" s="293"/>
      <c r="E63" s="294">
        <f>+[8]BS17A!V405</f>
        <v>129870</v>
      </c>
      <c r="F63" s="262"/>
    </row>
    <row r="64" spans="1:7" ht="15" customHeight="1" x14ac:dyDescent="0.2">
      <c r="A64" s="479"/>
      <c r="B64" s="432" t="s">
        <v>101</v>
      </c>
      <c r="C64" s="395">
        <f>+[8]BS17!$D21</f>
        <v>1304</v>
      </c>
      <c r="D64" s="301"/>
      <c r="E64" s="302">
        <f>+[8]BS17A!V428</f>
        <v>5214000</v>
      </c>
      <c r="F64" s="262"/>
    </row>
    <row r="65" spans="1:7" ht="15" customHeight="1" x14ac:dyDescent="0.2">
      <c r="A65" s="472" t="s">
        <v>102</v>
      </c>
      <c r="B65" s="471" t="s">
        <v>103</v>
      </c>
      <c r="C65" s="426">
        <f>+[8]BS17!$D22</f>
        <v>0</v>
      </c>
      <c r="D65" s="290"/>
      <c r="E65" s="291">
        <f>+[8]BS17A!V446</f>
        <v>0</v>
      </c>
      <c r="F65" s="262"/>
    </row>
    <row r="66" spans="1:7" ht="15" customHeight="1" x14ac:dyDescent="0.2">
      <c r="A66" s="435" t="s">
        <v>104</v>
      </c>
      <c r="B66" s="430" t="s">
        <v>105</v>
      </c>
      <c r="C66" s="380">
        <f>+[8]BS17!$D23</f>
        <v>64</v>
      </c>
      <c r="D66" s="293"/>
      <c r="E66" s="294">
        <f>+[8]BS17A!V456</f>
        <v>141750</v>
      </c>
      <c r="F66" s="262"/>
    </row>
    <row r="67" spans="1:7" ht="15" customHeight="1" x14ac:dyDescent="0.2">
      <c r="A67" s="467" t="s">
        <v>106</v>
      </c>
      <c r="B67" s="450" t="s">
        <v>107</v>
      </c>
      <c r="C67" s="410">
        <f>+[8]BS17!$D24</f>
        <v>2816</v>
      </c>
      <c r="D67" s="295"/>
      <c r="E67" s="296">
        <f>+[8]BS17A!V500</f>
        <v>3399120</v>
      </c>
      <c r="F67" s="262"/>
    </row>
    <row r="68" spans="1:7" ht="15" customHeight="1" x14ac:dyDescent="0.2">
      <c r="A68" s="480" t="s">
        <v>108</v>
      </c>
      <c r="B68" s="470" t="s">
        <v>109</v>
      </c>
      <c r="C68" s="427">
        <f>+[8]BS17!$D25</f>
        <v>4804</v>
      </c>
      <c r="D68" s="303"/>
      <c r="E68" s="304">
        <f>SUM(E69:E74)</f>
        <v>74000270</v>
      </c>
      <c r="F68" s="262"/>
    </row>
    <row r="69" spans="1:7" ht="15" customHeight="1" x14ac:dyDescent="0.2">
      <c r="A69" s="435" t="s">
        <v>110</v>
      </c>
      <c r="B69" s="430" t="s">
        <v>111</v>
      </c>
      <c r="C69" s="380">
        <f>+[8]BS17!$D26</f>
        <v>2869</v>
      </c>
      <c r="D69" s="293"/>
      <c r="E69" s="294">
        <f>+[8]BS17A!V535</f>
        <v>22588610</v>
      </c>
      <c r="F69" s="262"/>
    </row>
    <row r="70" spans="1:7" ht="15" customHeight="1" x14ac:dyDescent="0.2">
      <c r="A70" s="435" t="s">
        <v>112</v>
      </c>
      <c r="B70" s="430" t="s">
        <v>113</v>
      </c>
      <c r="C70" s="380">
        <f>+[8]BS17!$D27</f>
        <v>17</v>
      </c>
      <c r="D70" s="293"/>
      <c r="E70" s="294">
        <f>+[8]BS17A!V590</f>
        <v>423890</v>
      </c>
      <c r="F70" s="262"/>
    </row>
    <row r="71" spans="1:7" ht="15" customHeight="1" x14ac:dyDescent="0.2">
      <c r="A71" s="435" t="s">
        <v>114</v>
      </c>
      <c r="B71" s="430" t="s">
        <v>115</v>
      </c>
      <c r="C71" s="380">
        <f>+[8]BS17!$D28</f>
        <v>721</v>
      </c>
      <c r="D71" s="293"/>
      <c r="E71" s="294">
        <f>+[8]BS17A!V615</f>
        <v>36782020</v>
      </c>
      <c r="F71" s="262"/>
    </row>
    <row r="72" spans="1:7" ht="15" customHeight="1" x14ac:dyDescent="0.2">
      <c r="A72" s="435" t="s">
        <v>116</v>
      </c>
      <c r="B72" s="430" t="s">
        <v>117</v>
      </c>
      <c r="C72" s="380">
        <f>+[8]BS17!$D30+[8]BS17!$D32</f>
        <v>961</v>
      </c>
      <c r="D72" s="293"/>
      <c r="E72" s="294">
        <f>+[8]BS17A!V633-[8]BS17A!V634</f>
        <v>13004510</v>
      </c>
      <c r="F72" s="262"/>
    </row>
    <row r="73" spans="1:7" ht="15" customHeight="1" x14ac:dyDescent="0.2">
      <c r="A73" s="481"/>
      <c r="B73" s="430" t="s">
        <v>118</v>
      </c>
      <c r="C73" s="380">
        <f>+[8]BS17!$D31</f>
        <v>236</v>
      </c>
      <c r="D73" s="293"/>
      <c r="E73" s="294">
        <f>+[8]BS17A!V634</f>
        <v>1201240</v>
      </c>
      <c r="F73" s="262"/>
    </row>
    <row r="74" spans="1:7" ht="15" customHeight="1" x14ac:dyDescent="0.2">
      <c r="A74" s="482" t="s">
        <v>119</v>
      </c>
      <c r="B74" s="476" t="s">
        <v>120</v>
      </c>
      <c r="C74" s="417">
        <f>+[8]BS17!$D33</f>
        <v>0</v>
      </c>
      <c r="D74" s="389"/>
      <c r="E74" s="390">
        <f>+[8]BS17A!V654</f>
        <v>0</v>
      </c>
      <c r="F74" s="262"/>
    </row>
    <row r="75" spans="1:7" ht="15" customHeight="1" x14ac:dyDescent="0.2">
      <c r="A75" s="483" t="s">
        <v>121</v>
      </c>
      <c r="B75" s="477" t="s">
        <v>122</v>
      </c>
      <c r="C75" s="428">
        <f>+[8]BS17!$D34</f>
        <v>0</v>
      </c>
      <c r="D75" s="305"/>
      <c r="E75" s="306">
        <f>+[8]BS17A!V783</f>
        <v>0</v>
      </c>
      <c r="F75" s="262"/>
    </row>
    <row r="76" spans="1:7" ht="15" customHeight="1" x14ac:dyDescent="0.2">
      <c r="A76" s="437"/>
      <c r="B76" s="508" t="s">
        <v>123</v>
      </c>
      <c r="C76" s="316">
        <f>+C55+C68+C75</f>
        <v>65459</v>
      </c>
      <c r="D76" s="288"/>
      <c r="E76" s="308">
        <f>+E55+E68+E75</f>
        <v>160641790</v>
      </c>
      <c r="F76" s="262"/>
    </row>
    <row r="77" spans="1:7" ht="12.75" x14ac:dyDescent="0.2">
      <c r="A77" s="262"/>
      <c r="B77" s="262"/>
      <c r="C77" s="262"/>
      <c r="D77" s="262"/>
      <c r="E77" s="262"/>
      <c r="F77" s="285"/>
      <c r="G77" s="286"/>
    </row>
    <row r="78" spans="1:7" ht="12.75" x14ac:dyDescent="0.2">
      <c r="A78" s="262"/>
      <c r="B78" s="262"/>
      <c r="C78" s="262"/>
      <c r="D78" s="262"/>
      <c r="E78" s="262"/>
      <c r="F78" s="285"/>
      <c r="G78" s="286"/>
    </row>
    <row r="79" spans="1:7" ht="12.75" x14ac:dyDescent="0.2">
      <c r="A79" s="583" t="s">
        <v>124</v>
      </c>
      <c r="B79" s="584"/>
      <c r="C79" s="584"/>
      <c r="D79" s="584"/>
      <c r="E79" s="585"/>
      <c r="F79" s="285"/>
      <c r="G79" s="286"/>
    </row>
    <row r="80" spans="1:7" ht="45" customHeight="1" x14ac:dyDescent="0.2">
      <c r="A80" s="264" t="s">
        <v>8</v>
      </c>
      <c r="B80" s="505" t="s">
        <v>9</v>
      </c>
      <c r="C80" s="309" t="s">
        <v>10</v>
      </c>
      <c r="D80" s="311"/>
      <c r="E80" s="312" t="s">
        <v>12</v>
      </c>
      <c r="F80" s="285"/>
      <c r="G80" s="286"/>
    </row>
    <row r="81" spans="1:6" ht="15" customHeight="1" x14ac:dyDescent="0.2">
      <c r="A81" s="473" t="s">
        <v>125</v>
      </c>
      <c r="B81" s="443" t="s">
        <v>126</v>
      </c>
      <c r="C81" s="383">
        <f>+[8]BS17!D49</f>
        <v>0</v>
      </c>
      <c r="D81" s="290"/>
      <c r="E81" s="313">
        <f>+SUM([8]BS17A!V673+[8]BS17A!V719)</f>
        <v>0</v>
      </c>
      <c r="F81" s="262"/>
    </row>
    <row r="82" spans="1:6" ht="15" customHeight="1" x14ac:dyDescent="0.2">
      <c r="A82" s="457">
        <v>2001</v>
      </c>
      <c r="B82" s="430" t="s">
        <v>127</v>
      </c>
      <c r="C82" s="380">
        <f>+[8]BS17!E130</f>
        <v>1232</v>
      </c>
      <c r="D82" s="293"/>
      <c r="E82" s="314">
        <f>+[8]BS17A!V1574</f>
        <v>10795290</v>
      </c>
      <c r="F82" s="262"/>
    </row>
    <row r="83" spans="1:6" ht="15" customHeight="1" x14ac:dyDescent="0.2">
      <c r="A83" s="467" t="s">
        <v>128</v>
      </c>
      <c r="B83" s="450" t="s">
        <v>129</v>
      </c>
      <c r="C83" s="410">
        <f>+[8]BS17A!D1849</f>
        <v>20</v>
      </c>
      <c r="D83" s="295"/>
      <c r="E83" s="315">
        <f>+[8]BS17A!V1849</f>
        <v>1425750</v>
      </c>
      <c r="F83" s="262"/>
    </row>
    <row r="84" spans="1:6" ht="17.25" customHeight="1" x14ac:dyDescent="0.2">
      <c r="A84" s="437"/>
      <c r="B84" s="508" t="s">
        <v>130</v>
      </c>
      <c r="C84" s="316">
        <f>+SUM(C81:C83)</f>
        <v>1252</v>
      </c>
      <c r="D84" s="288"/>
      <c r="E84" s="317">
        <f>SUM(E81:E83)</f>
        <v>12221040</v>
      </c>
      <c r="F84" s="262"/>
    </row>
    <row r="85" spans="1:6" ht="12.75" x14ac:dyDescent="0.2">
      <c r="A85" s="262"/>
      <c r="B85" s="262"/>
      <c r="C85" s="262"/>
      <c r="D85" s="262"/>
      <c r="E85" s="262"/>
      <c r="F85" s="262"/>
    </row>
    <row r="86" spans="1:6" ht="12.75" x14ac:dyDescent="0.2">
      <c r="A86" s="262"/>
      <c r="B86" s="262"/>
      <c r="C86" s="262"/>
      <c r="D86" s="262"/>
      <c r="E86" s="262"/>
      <c r="F86" s="259"/>
    </row>
    <row r="87" spans="1:6" ht="12.75" x14ac:dyDescent="0.15">
      <c r="A87" s="597" t="s">
        <v>131</v>
      </c>
      <c r="B87" s="598"/>
      <c r="C87" s="598"/>
      <c r="D87" s="598"/>
      <c r="E87" s="598"/>
      <c r="F87" s="599"/>
    </row>
    <row r="88" spans="1:6" ht="33.75" customHeight="1" x14ac:dyDescent="0.15">
      <c r="A88" s="611" t="s">
        <v>8</v>
      </c>
      <c r="B88" s="611" t="s">
        <v>9</v>
      </c>
      <c r="C88" s="586" t="s">
        <v>10</v>
      </c>
      <c r="D88" s="587"/>
      <c r="E88" s="587"/>
      <c r="F88" s="588"/>
    </row>
    <row r="89" spans="1:6" ht="45" customHeight="1" x14ac:dyDescent="0.15">
      <c r="A89" s="612"/>
      <c r="B89" s="612"/>
      <c r="C89" s="505" t="s">
        <v>132</v>
      </c>
      <c r="D89" s="394" t="s">
        <v>133</v>
      </c>
      <c r="E89" s="310" t="s">
        <v>134</v>
      </c>
      <c r="F89" s="506" t="s">
        <v>12</v>
      </c>
    </row>
    <row r="90" spans="1:6" ht="15" customHeight="1" x14ac:dyDescent="0.2">
      <c r="A90" s="434" t="s">
        <v>135</v>
      </c>
      <c r="B90" s="429" t="s">
        <v>136</v>
      </c>
      <c r="C90" s="420">
        <f>+[8]BS17!F68</f>
        <v>3</v>
      </c>
      <c r="D90" s="318">
        <f>+[8]BS17!G68</f>
        <v>0</v>
      </c>
      <c r="E90" s="319">
        <f>+[8]BS17!H68</f>
        <v>0</v>
      </c>
      <c r="F90" s="320">
        <f>[8]BS17A!V811</f>
        <v>448260</v>
      </c>
    </row>
    <row r="91" spans="1:6" ht="15" customHeight="1" x14ac:dyDescent="0.2">
      <c r="A91" s="435" t="s">
        <v>137</v>
      </c>
      <c r="B91" s="430" t="s">
        <v>138</v>
      </c>
      <c r="C91" s="421">
        <f>+[8]BS17!F69</f>
        <v>192</v>
      </c>
      <c r="D91" s="321">
        <f>+[8]BS17!G69</f>
        <v>0</v>
      </c>
      <c r="E91" s="322">
        <f>+[8]BS17!H69</f>
        <v>0</v>
      </c>
      <c r="F91" s="323">
        <f>[8]BS17A!V882</f>
        <v>61292240</v>
      </c>
    </row>
    <row r="92" spans="1:6" ht="15" customHeight="1" x14ac:dyDescent="0.2">
      <c r="A92" s="435" t="s">
        <v>139</v>
      </c>
      <c r="B92" s="430" t="s">
        <v>140</v>
      </c>
      <c r="C92" s="421">
        <f>+[8]BS17!F70</f>
        <v>25</v>
      </c>
      <c r="D92" s="321">
        <f>+[8]BS17!G70</f>
        <v>6</v>
      </c>
      <c r="E92" s="322">
        <f>+[8]BS17!H70</f>
        <v>0</v>
      </c>
      <c r="F92" s="323">
        <f>[8]BS17A!V961</f>
        <v>2696165</v>
      </c>
    </row>
    <row r="93" spans="1:6" ht="15" customHeight="1" x14ac:dyDescent="0.2">
      <c r="A93" s="435" t="s">
        <v>141</v>
      </c>
      <c r="B93" s="430" t="s">
        <v>142</v>
      </c>
      <c r="C93" s="421">
        <f>+[8]BS17!F71</f>
        <v>1</v>
      </c>
      <c r="D93" s="321">
        <f>+[8]BS17!G71</f>
        <v>1</v>
      </c>
      <c r="E93" s="322">
        <f>+[8]BS17!H71</f>
        <v>0</v>
      </c>
      <c r="F93" s="323">
        <f>[8]BS17A!V1037</f>
        <v>267950</v>
      </c>
    </row>
    <row r="94" spans="1:6" ht="15" customHeight="1" x14ac:dyDescent="0.2">
      <c r="A94" s="435" t="s">
        <v>143</v>
      </c>
      <c r="B94" s="430" t="s">
        <v>144</v>
      </c>
      <c r="C94" s="421">
        <f>+[8]BS17!F72</f>
        <v>78</v>
      </c>
      <c r="D94" s="321">
        <f>+[8]BS17!G72</f>
        <v>1</v>
      </c>
      <c r="E94" s="322">
        <f>+[8]BS17!H72</f>
        <v>0</v>
      </c>
      <c r="F94" s="323">
        <f>[8]BS17A!V1098</f>
        <v>4158290</v>
      </c>
    </row>
    <row r="95" spans="1:6" ht="15" customHeight="1" x14ac:dyDescent="0.2">
      <c r="A95" s="435" t="s">
        <v>145</v>
      </c>
      <c r="B95" s="430" t="s">
        <v>146</v>
      </c>
      <c r="C95" s="421">
        <f>+[8]BS17!F73</f>
        <v>116</v>
      </c>
      <c r="D95" s="321">
        <f>+[8]BS17!G73</f>
        <v>3</v>
      </c>
      <c r="E95" s="322">
        <f>+[8]BS17!H73</f>
        <v>0</v>
      </c>
      <c r="F95" s="323">
        <f>[8]BS17A!V1166</f>
        <v>2571620</v>
      </c>
    </row>
    <row r="96" spans="1:6" ht="15" customHeight="1" x14ac:dyDescent="0.2">
      <c r="A96" s="435" t="s">
        <v>147</v>
      </c>
      <c r="B96" s="430" t="s">
        <v>148</v>
      </c>
      <c r="C96" s="421">
        <f>+[8]BS17!F74</f>
        <v>4</v>
      </c>
      <c r="D96" s="321">
        <f>+[8]BS17!G74</f>
        <v>1</v>
      </c>
      <c r="E96" s="322">
        <f>+[8]BS17!H74</f>
        <v>0</v>
      </c>
      <c r="F96" s="323">
        <f>[8]BS17A!V1221</f>
        <v>630945</v>
      </c>
    </row>
    <row r="97" spans="1:6" ht="15" customHeight="1" x14ac:dyDescent="0.2">
      <c r="A97" s="435" t="s">
        <v>149</v>
      </c>
      <c r="B97" s="430" t="s">
        <v>150</v>
      </c>
      <c r="C97" s="421">
        <f>+[8]BS17!F75</f>
        <v>5</v>
      </c>
      <c r="D97" s="321">
        <f>+[8]BS17!G75</f>
        <v>1</v>
      </c>
      <c r="E97" s="322">
        <f>+[8]BS17!H75</f>
        <v>0</v>
      </c>
      <c r="F97" s="323">
        <f>[8]BS17A!V1287</f>
        <v>596595</v>
      </c>
    </row>
    <row r="98" spans="1:6" ht="15" customHeight="1" x14ac:dyDescent="0.2">
      <c r="A98" s="435" t="s">
        <v>151</v>
      </c>
      <c r="B98" s="430" t="s">
        <v>152</v>
      </c>
      <c r="C98" s="421">
        <f>+[8]BS17!F76</f>
        <v>138</v>
      </c>
      <c r="D98" s="321">
        <f>+[8]BS17!G76</f>
        <v>20</v>
      </c>
      <c r="E98" s="322">
        <f>+[8]BS17!H76</f>
        <v>0</v>
      </c>
      <c r="F98" s="323">
        <f>[8]BS17A!V1357</f>
        <v>36468900</v>
      </c>
    </row>
    <row r="99" spans="1:6" ht="15" customHeight="1" x14ac:dyDescent="0.2">
      <c r="A99" s="435" t="s">
        <v>153</v>
      </c>
      <c r="B99" s="430" t="s">
        <v>154</v>
      </c>
      <c r="C99" s="421">
        <f>+[8]BS17!F77</f>
        <v>12</v>
      </c>
      <c r="D99" s="321">
        <f>+[8]BS17!G77</f>
        <v>0</v>
      </c>
      <c r="E99" s="322">
        <f>+[8]BS17!H77</f>
        <v>0</v>
      </c>
      <c r="F99" s="323">
        <f>[8]BS17A!V1441</f>
        <v>1097270</v>
      </c>
    </row>
    <row r="100" spans="1:6" ht="15" customHeight="1" x14ac:dyDescent="0.2">
      <c r="A100" s="435" t="s">
        <v>155</v>
      </c>
      <c r="B100" s="430" t="s">
        <v>156</v>
      </c>
      <c r="C100" s="421">
        <f>+[8]BS17!F78</f>
        <v>27</v>
      </c>
      <c r="D100" s="321">
        <f>+[8]BS17!G78</f>
        <v>4</v>
      </c>
      <c r="E100" s="322">
        <f>+[8]BS17!H78</f>
        <v>0</v>
      </c>
      <c r="F100" s="323">
        <f>[8]BS17A!V1489</f>
        <v>5363920</v>
      </c>
    </row>
    <row r="101" spans="1:6" ht="15" customHeight="1" x14ac:dyDescent="0.2">
      <c r="A101" s="435" t="s">
        <v>157</v>
      </c>
      <c r="B101" s="430" t="s">
        <v>158</v>
      </c>
      <c r="C101" s="421">
        <f>+[8]BS17!F79</f>
        <v>9</v>
      </c>
      <c r="D101" s="321">
        <f>+[8]BS17!G79</f>
        <v>0</v>
      </c>
      <c r="E101" s="322">
        <f>+[8]BS17!H79</f>
        <v>0</v>
      </c>
      <c r="F101" s="323">
        <f>[8]BS17A!V1592</f>
        <v>2266510</v>
      </c>
    </row>
    <row r="102" spans="1:6" ht="15" customHeight="1" x14ac:dyDescent="0.2">
      <c r="A102" s="467" t="s">
        <v>159</v>
      </c>
      <c r="B102" s="450" t="s">
        <v>160</v>
      </c>
      <c r="C102" s="422">
        <f>+[8]BS17!F80</f>
        <v>52</v>
      </c>
      <c r="D102" s="324">
        <f>+[8]BS17!G80</f>
        <v>9</v>
      </c>
      <c r="E102" s="325">
        <f>+[8]BS17!H80</f>
        <v>0</v>
      </c>
      <c r="F102" s="326">
        <f>[8]BS17A!V1597</f>
        <v>11510245</v>
      </c>
    </row>
    <row r="103" spans="1:6" ht="15" customHeight="1" x14ac:dyDescent="0.2">
      <c r="A103" s="434" t="s">
        <v>161</v>
      </c>
      <c r="B103" s="429" t="s">
        <v>162</v>
      </c>
      <c r="C103" s="420">
        <f>+[8]BS17!F81</f>
        <v>70</v>
      </c>
      <c r="D103" s="318">
        <f>+[8]BS17!G81</f>
        <v>2</v>
      </c>
      <c r="E103" s="319">
        <f>+[8]BS17!H81</f>
        <v>0</v>
      </c>
      <c r="F103" s="320">
        <f>+[8]BS17A!V1631</f>
        <v>8431410</v>
      </c>
    </row>
    <row r="104" spans="1:6" ht="15" customHeight="1" x14ac:dyDescent="0.2">
      <c r="A104" s="435"/>
      <c r="B104" s="430" t="s">
        <v>163</v>
      </c>
      <c r="C104" s="421">
        <f>+[8]BS17A!D1635</f>
        <v>0</v>
      </c>
      <c r="D104" s="321">
        <f>+[8]BS17A!F1635</f>
        <v>0</v>
      </c>
      <c r="E104" s="322">
        <f>+[8]BS17A!G1635</f>
        <v>0</v>
      </c>
      <c r="F104" s="323">
        <f>+[8]BS17A!V1635</f>
        <v>0</v>
      </c>
    </row>
    <row r="105" spans="1:6" ht="15" customHeight="1" x14ac:dyDescent="0.2">
      <c r="A105" s="435"/>
      <c r="B105" s="430" t="s">
        <v>164</v>
      </c>
      <c r="C105" s="421">
        <f>+[8]BS17A!D1634</f>
        <v>48</v>
      </c>
      <c r="D105" s="321">
        <f>+[8]BS17A!F1634</f>
        <v>0</v>
      </c>
      <c r="E105" s="322">
        <f>+[8]BS17A!G1634</f>
        <v>0</v>
      </c>
      <c r="F105" s="323">
        <f>+[8]BS17A!V1634</f>
        <v>6189600</v>
      </c>
    </row>
    <row r="106" spans="1:6" ht="15" customHeight="1" x14ac:dyDescent="0.2">
      <c r="A106" s="436"/>
      <c r="B106" s="444" t="s">
        <v>165</v>
      </c>
      <c r="C106" s="423">
        <f>+[8]BS17A!D1632+[8]BS17A!D1633</f>
        <v>22</v>
      </c>
      <c r="D106" s="328">
        <f>+[8]BS17A!F1632+[8]BS17A!F1633</f>
        <v>2</v>
      </c>
      <c r="E106" s="329">
        <f>+[8]BS17A!G1632+[8]BS17A!G1633</f>
        <v>0</v>
      </c>
      <c r="F106" s="330">
        <f>+[8]BS17A!V1632+[8]BS17A!V1633</f>
        <v>2241810</v>
      </c>
    </row>
    <row r="107" spans="1:6" ht="15" customHeight="1" x14ac:dyDescent="0.2">
      <c r="A107" s="472" t="s">
        <v>166</v>
      </c>
      <c r="B107" s="471" t="s">
        <v>167</v>
      </c>
      <c r="C107" s="424">
        <f>+[8]BS17!F82</f>
        <v>49</v>
      </c>
      <c r="D107" s="331">
        <f>+[8]BS17!G82</f>
        <v>2</v>
      </c>
      <c r="E107" s="332">
        <f>+[8]BS17!H82</f>
        <v>0</v>
      </c>
      <c r="F107" s="333">
        <f>+[8]BS17A!V1639</f>
        <v>9835740</v>
      </c>
    </row>
    <row r="108" spans="1:6" ht="15" customHeight="1" x14ac:dyDescent="0.2">
      <c r="A108" s="468">
        <v>2106</v>
      </c>
      <c r="B108" s="444" t="s">
        <v>168</v>
      </c>
      <c r="C108" s="423">
        <f>[8]BS17A!D1845</f>
        <v>10</v>
      </c>
      <c r="D108" s="328">
        <f>[8]BS17A!F1845</f>
        <v>1</v>
      </c>
      <c r="E108" s="329">
        <f>[8]BS17A!G1845</f>
        <v>0</v>
      </c>
      <c r="F108" s="330">
        <f>+[8]BS17A!V1845</f>
        <v>593140</v>
      </c>
    </row>
    <row r="109" spans="1:6" ht="15" customHeight="1" x14ac:dyDescent="0.2">
      <c r="A109" s="442"/>
      <c r="B109" s="441" t="s">
        <v>169</v>
      </c>
      <c r="C109" s="425">
        <f>SUM(C90:C108)-C103</f>
        <v>791</v>
      </c>
      <c r="D109" s="335">
        <f>SUM(D90:D108)-D103</f>
        <v>51</v>
      </c>
      <c r="E109" s="336">
        <f>+SUM(E90:E103)+E107+E108</f>
        <v>0</v>
      </c>
      <c r="F109" s="337">
        <f>+SUM(F90:F103)+F107+F108</f>
        <v>148229200</v>
      </c>
    </row>
    <row r="110" spans="1:6" ht="12.75" x14ac:dyDescent="0.2">
      <c r="A110" s="262"/>
      <c r="B110" s="262"/>
      <c r="C110" s="262"/>
      <c r="D110" s="262"/>
      <c r="E110" s="262"/>
      <c r="F110" s="259"/>
    </row>
    <row r="111" spans="1:6" ht="12.75" x14ac:dyDescent="0.2">
      <c r="A111" s="262"/>
      <c r="B111" s="262"/>
      <c r="C111" s="262"/>
      <c r="D111" s="262"/>
      <c r="E111" s="262"/>
      <c r="F111" s="259"/>
    </row>
    <row r="112" spans="1:6" ht="12.75" x14ac:dyDescent="0.2">
      <c r="A112" s="583" t="s">
        <v>170</v>
      </c>
      <c r="B112" s="584"/>
      <c r="C112" s="584"/>
      <c r="D112" s="584"/>
      <c r="E112" s="585"/>
      <c r="F112" s="259"/>
    </row>
    <row r="113" spans="1:6" ht="49.5" customHeight="1" x14ac:dyDescent="0.2">
      <c r="A113" s="264" t="s">
        <v>8</v>
      </c>
      <c r="B113" s="264" t="s">
        <v>9</v>
      </c>
      <c r="C113" s="504" t="s">
        <v>10</v>
      </c>
      <c r="D113" s="310" t="s">
        <v>11</v>
      </c>
      <c r="E113" s="506" t="s">
        <v>12</v>
      </c>
      <c r="F113" s="259"/>
    </row>
    <row r="114" spans="1:6" ht="15" customHeight="1" x14ac:dyDescent="0.2">
      <c r="A114" s="434" t="s">
        <v>171</v>
      </c>
      <c r="B114" s="429" t="s">
        <v>172</v>
      </c>
      <c r="C114" s="383">
        <f>+[8]BS17A!D1636</f>
        <v>89</v>
      </c>
      <c r="D114" s="338">
        <f>+[8]BS17A!U1636</f>
        <v>128940</v>
      </c>
      <c r="E114" s="339">
        <f>+[8]BS17A!V1636</f>
        <v>11475660</v>
      </c>
      <c r="F114" s="262"/>
    </row>
    <row r="115" spans="1:6" ht="15" customHeight="1" x14ac:dyDescent="0.2">
      <c r="A115" s="436" t="s">
        <v>173</v>
      </c>
      <c r="B115" s="465" t="s">
        <v>174</v>
      </c>
      <c r="C115" s="410">
        <f>+[8]BS17A!D1637</f>
        <v>3</v>
      </c>
      <c r="D115" s="340">
        <f>+[8]BS17A!U1637</f>
        <v>135670</v>
      </c>
      <c r="E115" s="315">
        <f>+[8]BS17A!V1637</f>
        <v>407010</v>
      </c>
      <c r="F115" s="262"/>
    </row>
    <row r="116" spans="1:6" ht="15" customHeight="1" x14ac:dyDescent="0.2">
      <c r="A116" s="316"/>
      <c r="B116" s="393" t="s">
        <v>175</v>
      </c>
      <c r="C116" s="316">
        <f>SUM(C114:C115)</f>
        <v>92</v>
      </c>
      <c r="D116" s="288"/>
      <c r="E116" s="317">
        <f>SUM(E114:E115)</f>
        <v>11882670</v>
      </c>
      <c r="F116" s="262"/>
    </row>
    <row r="117" spans="1:6" ht="12.75" x14ac:dyDescent="0.2">
      <c r="A117" s="262"/>
      <c r="B117" s="262"/>
      <c r="C117" s="262"/>
      <c r="D117" s="262"/>
      <c r="E117" s="262"/>
      <c r="F117" s="262"/>
    </row>
    <row r="118" spans="1:6" ht="12.75" x14ac:dyDescent="0.2">
      <c r="A118" s="262"/>
      <c r="B118" s="262"/>
      <c r="C118" s="262"/>
      <c r="D118" s="262"/>
      <c r="E118" s="262"/>
      <c r="F118" s="259"/>
    </row>
    <row r="119" spans="1:6" ht="12.75" x14ac:dyDescent="0.2">
      <c r="A119" s="608" t="s">
        <v>176</v>
      </c>
      <c r="B119" s="608"/>
      <c r="C119" s="608"/>
      <c r="D119" s="262"/>
      <c r="E119" s="262"/>
      <c r="F119" s="259"/>
    </row>
    <row r="120" spans="1:6" ht="38.25" customHeight="1" x14ac:dyDescent="0.2">
      <c r="A120" s="264" t="s">
        <v>8</v>
      </c>
      <c r="B120" s="264" t="s">
        <v>10</v>
      </c>
      <c r="C120" s="264" t="s">
        <v>12</v>
      </c>
      <c r="D120" s="262"/>
      <c r="E120" s="262"/>
      <c r="F120" s="262"/>
    </row>
    <row r="121" spans="1:6" ht="15" customHeight="1" x14ac:dyDescent="0.2">
      <c r="A121" s="341" t="s">
        <v>177</v>
      </c>
      <c r="B121" s="342" t="s">
        <v>178</v>
      </c>
      <c r="C121" s="343">
        <f>+[8]BS17A!V1871+[8]BS17A!V1889+[8]BS17A!V1914</f>
        <v>13355990</v>
      </c>
      <c r="D121" s="262"/>
      <c r="E121" s="262"/>
      <c r="F121" s="262"/>
    </row>
    <row r="122" spans="1:6" ht="12.75" x14ac:dyDescent="0.2">
      <c r="A122" s="262"/>
      <c r="B122" s="262"/>
      <c r="C122" s="262"/>
      <c r="D122" s="262"/>
      <c r="E122" s="259"/>
      <c r="F122" s="262"/>
    </row>
    <row r="123" spans="1:6" ht="12.75" x14ac:dyDescent="0.2">
      <c r="A123" s="262"/>
      <c r="B123" s="262"/>
      <c r="C123" s="262"/>
      <c r="D123" s="262"/>
      <c r="E123" s="259"/>
      <c r="F123" s="262"/>
    </row>
    <row r="124" spans="1:6" ht="12.75" x14ac:dyDescent="0.2">
      <c r="A124" s="583" t="s">
        <v>179</v>
      </c>
      <c r="B124" s="584"/>
      <c r="C124" s="584"/>
      <c r="D124" s="584"/>
      <c r="E124" s="585"/>
      <c r="F124" s="259"/>
    </row>
    <row r="125" spans="1:6" ht="45.75" customHeight="1" x14ac:dyDescent="0.2">
      <c r="A125" s="264" t="s">
        <v>8</v>
      </c>
      <c r="B125" s="264" t="s">
        <v>9</v>
      </c>
      <c r="C125" s="504" t="s">
        <v>10</v>
      </c>
      <c r="D125" s="310" t="s">
        <v>11</v>
      </c>
      <c r="E125" s="506" t="s">
        <v>12</v>
      </c>
      <c r="F125" s="259"/>
    </row>
    <row r="126" spans="1:6" ht="15" customHeight="1" x14ac:dyDescent="0.2">
      <c r="A126" s="434" t="s">
        <v>180</v>
      </c>
      <c r="B126" s="451" t="s">
        <v>181</v>
      </c>
      <c r="C126" s="383">
        <f>+[8]BS17A!$D59</f>
        <v>5496</v>
      </c>
      <c r="D126" s="275">
        <f>+[8]BS17A!$U59</f>
        <v>33020</v>
      </c>
      <c r="E126" s="344">
        <f>+[8]BS17A!$V59</f>
        <v>181477920</v>
      </c>
      <c r="F126" s="262"/>
    </row>
    <row r="127" spans="1:6" ht="15" customHeight="1" x14ac:dyDescent="0.2">
      <c r="A127" s="435" t="s">
        <v>182</v>
      </c>
      <c r="B127" s="431" t="s">
        <v>183</v>
      </c>
      <c r="C127" s="380">
        <f>+[8]BS17A!$D60</f>
        <v>0</v>
      </c>
      <c r="D127" s="270">
        <f>+[8]BS17A!$U60</f>
        <v>30400</v>
      </c>
      <c r="E127" s="345">
        <f>+[8]BS17A!$V60</f>
        <v>0</v>
      </c>
      <c r="F127" s="262"/>
    </row>
    <row r="128" spans="1:6" ht="15" customHeight="1" x14ac:dyDescent="0.2">
      <c r="A128" s="435" t="s">
        <v>184</v>
      </c>
      <c r="B128" s="431" t="s">
        <v>185</v>
      </c>
      <c r="C128" s="380">
        <f>+[8]BS17A!$D61</f>
        <v>0</v>
      </c>
      <c r="D128" s="270">
        <f>+[8]BS17A!$U61</f>
        <v>25340</v>
      </c>
      <c r="E128" s="345">
        <f>+[8]BS17A!$V61</f>
        <v>0</v>
      </c>
      <c r="F128" s="262"/>
    </row>
    <row r="129" spans="1:6" ht="15" customHeight="1" x14ac:dyDescent="0.2">
      <c r="A129" s="435" t="s">
        <v>186</v>
      </c>
      <c r="B129" s="431" t="s">
        <v>187</v>
      </c>
      <c r="C129" s="380">
        <f>SUM([8]BS17A!D62:D64)</f>
        <v>189</v>
      </c>
      <c r="D129" s="270">
        <f>+[8]BS17A!$U62</f>
        <v>137290</v>
      </c>
      <c r="E129" s="345">
        <f>SUM([8]BS17A!V62:V64)</f>
        <v>25947810</v>
      </c>
      <c r="F129" s="262"/>
    </row>
    <row r="130" spans="1:6" ht="15" customHeight="1" x14ac:dyDescent="0.2">
      <c r="A130" s="435" t="s">
        <v>188</v>
      </c>
      <c r="B130" s="431" t="s">
        <v>189</v>
      </c>
      <c r="C130" s="380">
        <f>SUM([8]BS17A!D65:D67)</f>
        <v>278</v>
      </c>
      <c r="D130" s="270">
        <f>+[8]BS17A!$U65</f>
        <v>66300</v>
      </c>
      <c r="E130" s="345">
        <f>SUM([8]BS17A!V65:V67)</f>
        <v>18431400</v>
      </c>
      <c r="F130" s="262"/>
    </row>
    <row r="131" spans="1:6" ht="15" customHeight="1" x14ac:dyDescent="0.2">
      <c r="A131" s="435" t="s">
        <v>190</v>
      </c>
      <c r="B131" s="431" t="s">
        <v>191</v>
      </c>
      <c r="C131" s="380">
        <f>+[8]BS17A!D68</f>
        <v>198</v>
      </c>
      <c r="D131" s="270">
        <f>+[8]BS17A!$U68</f>
        <v>59490</v>
      </c>
      <c r="E131" s="345">
        <f>+[8]BS17A!$V68</f>
        <v>11779020</v>
      </c>
      <c r="F131" s="262"/>
    </row>
    <row r="132" spans="1:6" ht="15" customHeight="1" x14ac:dyDescent="0.2">
      <c r="A132" s="435" t="s">
        <v>192</v>
      </c>
      <c r="B132" s="431" t="s">
        <v>193</v>
      </c>
      <c r="C132" s="380">
        <f>+[8]BS17A!$D69</f>
        <v>0</v>
      </c>
      <c r="D132" s="270">
        <f>+[8]BS17A!$U69</f>
        <v>16880</v>
      </c>
      <c r="E132" s="345">
        <f>+[8]BS17A!$V69</f>
        <v>0</v>
      </c>
      <c r="F132" s="262"/>
    </row>
    <row r="133" spans="1:6" ht="15" customHeight="1" x14ac:dyDescent="0.2">
      <c r="A133" s="435" t="s">
        <v>194</v>
      </c>
      <c r="B133" s="431" t="s">
        <v>195</v>
      </c>
      <c r="C133" s="380">
        <f>+[8]BS17A!$D70</f>
        <v>0</v>
      </c>
      <c r="D133" s="270">
        <f>+[8]BS17A!$U70</f>
        <v>26450</v>
      </c>
      <c r="E133" s="345">
        <f>+[8]BS17A!$V70</f>
        <v>0</v>
      </c>
      <c r="F133" s="262"/>
    </row>
    <row r="134" spans="1:6" ht="15" customHeight="1" x14ac:dyDescent="0.2">
      <c r="A134" s="435" t="s">
        <v>196</v>
      </c>
      <c r="B134" s="431" t="s">
        <v>197</v>
      </c>
      <c r="C134" s="380">
        <f>+[8]BS17A!$D73</f>
        <v>0</v>
      </c>
      <c r="D134" s="270">
        <f>+[8]BS17A!$U73</f>
        <v>26670</v>
      </c>
      <c r="E134" s="345">
        <f>+[8]BS17A!$V73</f>
        <v>0</v>
      </c>
      <c r="F134" s="262"/>
    </row>
    <row r="135" spans="1:6" ht="15" customHeight="1" x14ac:dyDescent="0.2">
      <c r="A135" s="435" t="s">
        <v>198</v>
      </c>
      <c r="B135" s="431" t="s">
        <v>199</v>
      </c>
      <c r="C135" s="380">
        <f>+[8]BS17A!$D71</f>
        <v>0</v>
      </c>
      <c r="D135" s="270">
        <f>+[8]BS17A!$U71</f>
        <v>27530</v>
      </c>
      <c r="E135" s="345">
        <f>+[8]BS17A!$V71</f>
        <v>0</v>
      </c>
      <c r="F135" s="262"/>
    </row>
    <row r="136" spans="1:6" ht="15" customHeight="1" x14ac:dyDescent="0.2">
      <c r="A136" s="435" t="s">
        <v>200</v>
      </c>
      <c r="B136" s="431" t="s">
        <v>201</v>
      </c>
      <c r="C136" s="380">
        <f>+[8]BS17A!$D76</f>
        <v>0</v>
      </c>
      <c r="D136" s="270">
        <f>+[8]BS17A!$U76</f>
        <v>33020</v>
      </c>
      <c r="E136" s="345">
        <f>+[8]BS17A!$V76</f>
        <v>0</v>
      </c>
      <c r="F136" s="262"/>
    </row>
    <row r="137" spans="1:6" ht="15" customHeight="1" x14ac:dyDescent="0.2">
      <c r="A137" s="435" t="s">
        <v>202</v>
      </c>
      <c r="B137" s="430" t="s">
        <v>203</v>
      </c>
      <c r="C137" s="380">
        <f>+[8]BS17A!$D79</f>
        <v>33</v>
      </c>
      <c r="D137" s="270">
        <f>+[8]BS17A!$U79</f>
        <v>6410</v>
      </c>
      <c r="E137" s="345">
        <f>+[8]BS17A!$V79</f>
        <v>211530</v>
      </c>
      <c r="F137" s="262"/>
    </row>
    <row r="138" spans="1:6" ht="15" customHeight="1" x14ac:dyDescent="0.2">
      <c r="A138" s="435" t="s">
        <v>204</v>
      </c>
      <c r="B138" s="430" t="s">
        <v>205</v>
      </c>
      <c r="C138" s="380">
        <f>+[8]BS17A!$D80</f>
        <v>0</v>
      </c>
      <c r="D138" s="270">
        <f>+[8]BS17A!$U80</f>
        <v>46280</v>
      </c>
      <c r="E138" s="345">
        <f>+[8]BS17A!$V80</f>
        <v>0</v>
      </c>
      <c r="F138" s="262"/>
    </row>
    <row r="139" spans="1:6" ht="15" customHeight="1" x14ac:dyDescent="0.2">
      <c r="A139" s="436"/>
      <c r="B139" s="469" t="s">
        <v>206</v>
      </c>
      <c r="C139" s="419">
        <f>SUM(C126:C138)</f>
        <v>6194</v>
      </c>
      <c r="D139" s="346"/>
      <c r="E139" s="347">
        <f>SUM(E126:E138)</f>
        <v>237847680</v>
      </c>
      <c r="F139" s="262"/>
    </row>
    <row r="140" spans="1:6" ht="15" customHeight="1" x14ac:dyDescent="0.2">
      <c r="A140" s="434"/>
      <c r="B140" s="470" t="s">
        <v>207</v>
      </c>
      <c r="C140" s="383"/>
      <c r="D140" s="275"/>
      <c r="E140" s="344"/>
      <c r="F140" s="262"/>
    </row>
    <row r="141" spans="1:6" ht="15" customHeight="1" x14ac:dyDescent="0.2">
      <c r="A141" s="435" t="s">
        <v>208</v>
      </c>
      <c r="B141" s="431" t="s">
        <v>209</v>
      </c>
      <c r="C141" s="380">
        <f>+[8]BS17A!$D72</f>
        <v>0</v>
      </c>
      <c r="D141" s="270">
        <f>+[8]BS17A!$U72</f>
        <v>11100</v>
      </c>
      <c r="E141" s="345">
        <f>+[8]BS17A!$V72</f>
        <v>0</v>
      </c>
      <c r="F141" s="262"/>
    </row>
    <row r="142" spans="1:6" ht="15" customHeight="1" x14ac:dyDescent="0.2">
      <c r="A142" s="435" t="s">
        <v>210</v>
      </c>
      <c r="B142" s="431" t="s">
        <v>211</v>
      </c>
      <c r="C142" s="380">
        <f>+[8]BS17A!$D74</f>
        <v>0</v>
      </c>
      <c r="D142" s="270">
        <f>+[8]BS17A!$U74</f>
        <v>11100</v>
      </c>
      <c r="E142" s="345">
        <f>+[8]BS17A!$V74</f>
        <v>0</v>
      </c>
      <c r="F142" s="262"/>
    </row>
    <row r="143" spans="1:6" ht="15" customHeight="1" x14ac:dyDescent="0.2">
      <c r="A143" s="435" t="s">
        <v>212</v>
      </c>
      <c r="B143" s="431" t="s">
        <v>213</v>
      </c>
      <c r="C143" s="380">
        <f>+[8]BS17A!$D75</f>
        <v>0</v>
      </c>
      <c r="D143" s="270">
        <f>+[8]BS17A!$U75</f>
        <v>4890</v>
      </c>
      <c r="E143" s="345">
        <f>+[8]BS17A!$V75</f>
        <v>0</v>
      </c>
      <c r="F143" s="262"/>
    </row>
    <row r="144" spans="1:6" ht="15" customHeight="1" x14ac:dyDescent="0.2">
      <c r="A144" s="435" t="s">
        <v>214</v>
      </c>
      <c r="B144" s="431" t="s">
        <v>215</v>
      </c>
      <c r="C144" s="380">
        <f>+[8]BS17A!$D77</f>
        <v>0</v>
      </c>
      <c r="D144" s="270">
        <f>+[8]BS17A!$U77</f>
        <v>89270</v>
      </c>
      <c r="E144" s="345">
        <f>+[8]BS17A!$V77</f>
        <v>0</v>
      </c>
      <c r="F144" s="262"/>
    </row>
    <row r="145" spans="1:6" ht="15" customHeight="1" x14ac:dyDescent="0.2">
      <c r="A145" s="435" t="s">
        <v>216</v>
      </c>
      <c r="B145" s="431" t="s">
        <v>217</v>
      </c>
      <c r="C145" s="380">
        <f>+[8]BS17A!$D78</f>
        <v>0</v>
      </c>
      <c r="D145" s="270">
        <f>+[8]BS17A!$U78</f>
        <v>10540</v>
      </c>
      <c r="E145" s="345">
        <f>+[8]BS17A!$V78</f>
        <v>0</v>
      </c>
      <c r="F145" s="262"/>
    </row>
    <row r="146" spans="1:6" ht="15" customHeight="1" x14ac:dyDescent="0.2">
      <c r="A146" s="435" t="s">
        <v>218</v>
      </c>
      <c r="B146" s="431" t="s">
        <v>219</v>
      </c>
      <c r="C146" s="380">
        <f>+[8]BS17A!$D81</f>
        <v>0</v>
      </c>
      <c r="D146" s="270">
        <f>+[8]BS17A!$U81</f>
        <v>8120</v>
      </c>
      <c r="E146" s="345">
        <f>+[8]BS17A!$V81</f>
        <v>0</v>
      </c>
      <c r="F146" s="262"/>
    </row>
    <row r="147" spans="1:6" ht="15" customHeight="1" x14ac:dyDescent="0.2">
      <c r="A147" s="436"/>
      <c r="B147" s="469" t="s">
        <v>220</v>
      </c>
      <c r="C147" s="419">
        <f>SUM(C141:C146)</f>
        <v>0</v>
      </c>
      <c r="D147" s="346"/>
      <c r="E147" s="347">
        <f>SUM(E141:E146)</f>
        <v>0</v>
      </c>
      <c r="F147" s="262"/>
    </row>
    <row r="148" spans="1:6" ht="15" customHeight="1" x14ac:dyDescent="0.2">
      <c r="A148" s="442"/>
      <c r="B148" s="441" t="s">
        <v>221</v>
      </c>
      <c r="C148" s="279">
        <f>+C139+C147</f>
        <v>6194</v>
      </c>
      <c r="D148" s="348"/>
      <c r="E148" s="349">
        <f>+E139+E147</f>
        <v>237847680</v>
      </c>
      <c r="F148" s="262"/>
    </row>
    <row r="149" spans="1:6" ht="12.75" x14ac:dyDescent="0.2">
      <c r="A149" s="262"/>
      <c r="B149" s="262"/>
      <c r="C149" s="262"/>
      <c r="D149" s="262"/>
      <c r="E149" s="262"/>
      <c r="F149" s="262"/>
    </row>
    <row r="150" spans="1:6" ht="12.75" x14ac:dyDescent="0.2">
      <c r="A150" s="262"/>
      <c r="B150" s="262"/>
      <c r="C150" s="262"/>
      <c r="D150" s="262"/>
      <c r="E150" s="262"/>
      <c r="F150" s="259"/>
    </row>
    <row r="151" spans="1:6" ht="12.75" x14ac:dyDescent="0.2">
      <c r="A151" s="597" t="s">
        <v>222</v>
      </c>
      <c r="B151" s="598"/>
      <c r="C151" s="598"/>
      <c r="D151" s="598"/>
      <c r="E151" s="599"/>
      <c r="F151" s="259"/>
    </row>
    <row r="152" spans="1:6" ht="47.25" customHeight="1" x14ac:dyDescent="0.2">
      <c r="A152" s="264" t="s">
        <v>8</v>
      </c>
      <c r="B152" s="264" t="s">
        <v>9</v>
      </c>
      <c r="C152" s="504" t="s">
        <v>10</v>
      </c>
      <c r="D152" s="310" t="s">
        <v>11</v>
      </c>
      <c r="E152" s="506" t="s">
        <v>12</v>
      </c>
      <c r="F152" s="262"/>
    </row>
    <row r="153" spans="1:6" ht="15" customHeight="1" x14ac:dyDescent="0.2">
      <c r="A153" s="434" t="s">
        <v>223</v>
      </c>
      <c r="B153" s="451" t="s">
        <v>224</v>
      </c>
      <c r="C153" s="383">
        <f>+[8]BS17A!D43</f>
        <v>288</v>
      </c>
      <c r="D153" s="275">
        <f>[8]BS17A!U43</f>
        <v>760</v>
      </c>
      <c r="E153" s="344">
        <f>+[8]BS17A!V43</f>
        <v>218880</v>
      </c>
      <c r="F153" s="262"/>
    </row>
    <row r="154" spans="1:6" ht="15" customHeight="1" x14ac:dyDescent="0.2">
      <c r="A154" s="436" t="s">
        <v>225</v>
      </c>
      <c r="B154" s="432" t="s">
        <v>226</v>
      </c>
      <c r="C154" s="395">
        <f>+[8]BS17A!D44+[8]BS17A!D45</f>
        <v>0</v>
      </c>
      <c r="D154" s="277">
        <f>[8]BS17A!U44</f>
        <v>100</v>
      </c>
      <c r="E154" s="350">
        <f>+[8]BS17A!V44+[8]BS17A!V45</f>
        <v>0</v>
      </c>
      <c r="F154" s="262"/>
    </row>
    <row r="155" spans="1:6" ht="15" customHeight="1" x14ac:dyDescent="0.2">
      <c r="A155" s="442"/>
      <c r="B155" s="441" t="s">
        <v>227</v>
      </c>
      <c r="C155" s="279">
        <f>SUM(C153:C154)</f>
        <v>288</v>
      </c>
      <c r="D155" s="348"/>
      <c r="E155" s="349">
        <f>SUM(E153:E154)</f>
        <v>218880</v>
      </c>
      <c r="F155" s="262"/>
    </row>
    <row r="156" spans="1:6" ht="12.75" x14ac:dyDescent="0.2">
      <c r="A156" s="262"/>
      <c r="B156" s="262"/>
      <c r="C156" s="262"/>
      <c r="D156" s="262"/>
      <c r="E156" s="262"/>
      <c r="F156" s="262"/>
    </row>
    <row r="157" spans="1:6" ht="12.75" x14ac:dyDescent="0.2">
      <c r="A157" s="262"/>
      <c r="B157" s="262"/>
      <c r="C157" s="262"/>
      <c r="D157" s="262"/>
      <c r="E157" s="262"/>
      <c r="F157" s="262"/>
    </row>
    <row r="158" spans="1:6" ht="18" customHeight="1" x14ac:dyDescent="0.2">
      <c r="A158" s="597" t="s">
        <v>228</v>
      </c>
      <c r="B158" s="598"/>
      <c r="C158" s="598"/>
      <c r="D158" s="598"/>
      <c r="E158" s="599"/>
      <c r="F158" s="259"/>
    </row>
    <row r="159" spans="1:6" ht="47.25" customHeight="1" x14ac:dyDescent="0.2">
      <c r="A159" s="264" t="s">
        <v>8</v>
      </c>
      <c r="B159" s="264" t="s">
        <v>9</v>
      </c>
      <c r="C159" s="504" t="s">
        <v>10</v>
      </c>
      <c r="D159" s="310" t="s">
        <v>11</v>
      </c>
      <c r="E159" s="506" t="s">
        <v>12</v>
      </c>
      <c r="F159" s="262"/>
    </row>
    <row r="160" spans="1:6" ht="15" customHeight="1" x14ac:dyDescent="0.2">
      <c r="A160" s="434" t="s">
        <v>229</v>
      </c>
      <c r="B160" s="429" t="s">
        <v>230</v>
      </c>
      <c r="C160" s="414">
        <f>+[8]BS17A!$D1481</f>
        <v>0</v>
      </c>
      <c r="D160" s="275">
        <f>+[8]BS17A!$U1481</f>
        <v>41580</v>
      </c>
      <c r="E160" s="344">
        <f>+[8]BS17A!$V1481</f>
        <v>0</v>
      </c>
      <c r="F160" s="262"/>
    </row>
    <row r="161" spans="1:6" ht="15" customHeight="1" x14ac:dyDescent="0.2">
      <c r="A161" s="435" t="s">
        <v>231</v>
      </c>
      <c r="B161" s="431" t="s">
        <v>232</v>
      </c>
      <c r="C161" s="418">
        <f>+[8]BS17A!$D1482</f>
        <v>0</v>
      </c>
      <c r="D161" s="270">
        <f>+[8]BS17A!$U1482</f>
        <v>26150</v>
      </c>
      <c r="E161" s="345">
        <f>+[8]BS17A!$V1482</f>
        <v>0</v>
      </c>
      <c r="F161" s="262"/>
    </row>
    <row r="162" spans="1:6" ht="15" customHeight="1" x14ac:dyDescent="0.2">
      <c r="A162" s="435" t="s">
        <v>233</v>
      </c>
      <c r="B162" s="430" t="s">
        <v>234</v>
      </c>
      <c r="C162" s="418">
        <f>+[8]BS17A!$D1483</f>
        <v>0</v>
      </c>
      <c r="D162" s="270">
        <f>+[8]BS17A!$U1483</f>
        <v>26930</v>
      </c>
      <c r="E162" s="345">
        <f>+[8]BS17A!$V1483</f>
        <v>0</v>
      </c>
      <c r="F162" s="262"/>
    </row>
    <row r="163" spans="1:6" ht="15" customHeight="1" x14ac:dyDescent="0.2">
      <c r="A163" s="435" t="s">
        <v>235</v>
      </c>
      <c r="B163" s="431" t="s">
        <v>236</v>
      </c>
      <c r="C163" s="418">
        <f>+[8]BS17A!$D1484</f>
        <v>0</v>
      </c>
      <c r="D163" s="270">
        <f>+[8]BS17A!$U1484</f>
        <v>808040</v>
      </c>
      <c r="E163" s="345">
        <f>+[8]BS17A!$V1484</f>
        <v>0</v>
      </c>
      <c r="F163" s="262"/>
    </row>
    <row r="164" spans="1:6" ht="15" customHeight="1" x14ac:dyDescent="0.2">
      <c r="A164" s="435" t="s">
        <v>237</v>
      </c>
      <c r="B164" s="431" t="s">
        <v>238</v>
      </c>
      <c r="C164" s="418">
        <f>+[8]BS17A!$D1485</f>
        <v>0</v>
      </c>
      <c r="D164" s="270">
        <f>+[8]BS17A!$U1485</f>
        <v>367020</v>
      </c>
      <c r="E164" s="345">
        <f>+[8]BS17A!$V1485</f>
        <v>0</v>
      </c>
      <c r="F164" s="262"/>
    </row>
    <row r="165" spans="1:6" ht="15" customHeight="1" x14ac:dyDescent="0.2">
      <c r="A165" s="435" t="s">
        <v>239</v>
      </c>
      <c r="B165" s="431" t="s">
        <v>240</v>
      </c>
      <c r="C165" s="418">
        <f>+[8]BS17A!$D1486</f>
        <v>0</v>
      </c>
      <c r="D165" s="270">
        <f>+[8]BS17A!$U1486</f>
        <v>561210</v>
      </c>
      <c r="E165" s="345">
        <f>+[8]BS17A!$V1486</f>
        <v>0</v>
      </c>
      <c r="F165" s="262"/>
    </row>
    <row r="166" spans="1:6" ht="15" customHeight="1" x14ac:dyDescent="0.2">
      <c r="A166" s="467" t="s">
        <v>241</v>
      </c>
      <c r="B166" s="465" t="s">
        <v>242</v>
      </c>
      <c r="C166" s="418">
        <f>+[8]BS17A!$D1487</f>
        <v>0</v>
      </c>
      <c r="D166" s="270">
        <f>+[8]BS17A!$U1487</f>
        <v>50600</v>
      </c>
      <c r="E166" s="345">
        <f>+[8]BS17A!$V1487</f>
        <v>0</v>
      </c>
      <c r="F166" s="262"/>
    </row>
    <row r="167" spans="1:6" ht="15" customHeight="1" x14ac:dyDescent="0.2">
      <c r="A167" s="468">
        <v>1901029</v>
      </c>
      <c r="B167" s="466" t="s">
        <v>243</v>
      </c>
      <c r="C167" s="415">
        <f>+[8]BS17A!$D1488</f>
        <v>0</v>
      </c>
      <c r="D167" s="277">
        <f>+[8]BS17A!$U1488</f>
        <v>657830</v>
      </c>
      <c r="E167" s="350">
        <f>+[8]BS17A!$V1488</f>
        <v>0</v>
      </c>
      <c r="F167" s="262"/>
    </row>
    <row r="168" spans="1:6" ht="15" customHeight="1" x14ac:dyDescent="0.2">
      <c r="A168" s="334"/>
      <c r="B168" s="351" t="s">
        <v>244</v>
      </c>
      <c r="C168" s="352">
        <f>SUM(C160:C167)</f>
        <v>0</v>
      </c>
      <c r="D168" s="353"/>
      <c r="E168" s="354">
        <f>SUM(E160:E167)</f>
        <v>0</v>
      </c>
      <c r="F168" s="262"/>
    </row>
    <row r="169" spans="1:6" ht="12.75" x14ac:dyDescent="0.2">
      <c r="A169" s="262"/>
      <c r="B169" s="262"/>
      <c r="C169" s="262"/>
      <c r="D169" s="262"/>
      <c r="E169" s="262"/>
      <c r="F169" s="262"/>
    </row>
    <row r="170" spans="1:6" ht="18" customHeight="1" x14ac:dyDescent="0.2">
      <c r="A170" s="262"/>
      <c r="B170" s="262"/>
      <c r="C170" s="262"/>
      <c r="D170" s="262"/>
      <c r="E170" s="262"/>
      <c r="F170" s="262"/>
    </row>
    <row r="171" spans="1:6" ht="18" customHeight="1" x14ac:dyDescent="0.2">
      <c r="A171" s="583" t="s">
        <v>245</v>
      </c>
      <c r="B171" s="584"/>
      <c r="C171" s="584"/>
      <c r="D171" s="584"/>
      <c r="E171" s="585"/>
      <c r="F171" s="259"/>
    </row>
    <row r="172" spans="1:6" ht="46.5" customHeight="1" x14ac:dyDescent="0.2">
      <c r="A172" s="264" t="s">
        <v>8</v>
      </c>
      <c r="B172" s="264" t="s">
        <v>9</v>
      </c>
      <c r="C172" s="504" t="s">
        <v>10</v>
      </c>
      <c r="D172" s="310" t="s">
        <v>11</v>
      </c>
      <c r="E172" s="506" t="s">
        <v>12</v>
      </c>
      <c r="F172" s="262"/>
    </row>
    <row r="173" spans="1:6" ht="12.75" customHeight="1" x14ac:dyDescent="0.2">
      <c r="A173" s="463">
        <v>1101004</v>
      </c>
      <c r="B173" s="458" t="s">
        <v>246</v>
      </c>
      <c r="C173" s="383">
        <f>+[8]BS17A!$D805</f>
        <v>13</v>
      </c>
      <c r="D173" s="275">
        <f>+[8]BS17A!$U805</f>
        <v>14260</v>
      </c>
      <c r="E173" s="344">
        <f>+[8]BS17A!$V805</f>
        <v>185380</v>
      </c>
      <c r="F173" s="262"/>
    </row>
    <row r="174" spans="1:6" ht="12.75" customHeight="1" x14ac:dyDescent="0.2">
      <c r="A174" s="457">
        <v>1101006</v>
      </c>
      <c r="B174" s="459" t="s">
        <v>247</v>
      </c>
      <c r="C174" s="380">
        <f>+[8]BS17A!$D806</f>
        <v>0</v>
      </c>
      <c r="D174" s="270">
        <f>+[8]BS17A!$U806</f>
        <v>11400</v>
      </c>
      <c r="E174" s="345">
        <f>+[8]BS17A!$V806</f>
        <v>0</v>
      </c>
      <c r="F174" s="262"/>
    </row>
    <row r="175" spans="1:6" ht="24.75" customHeight="1" x14ac:dyDescent="0.2">
      <c r="A175" s="457" t="s">
        <v>248</v>
      </c>
      <c r="B175" s="460" t="s">
        <v>249</v>
      </c>
      <c r="C175" s="380">
        <f>+[8]BS17A!$D1197</f>
        <v>776</v>
      </c>
      <c r="D175" s="270">
        <f>+[8]BS17A!$U1197</f>
        <v>4880</v>
      </c>
      <c r="E175" s="345">
        <f>+[8]BS17A!$V1197</f>
        <v>3786880</v>
      </c>
      <c r="F175" s="262"/>
    </row>
    <row r="176" spans="1:6" ht="24.75" customHeight="1" x14ac:dyDescent="0.2">
      <c r="A176" s="457" t="s">
        <v>250</v>
      </c>
      <c r="B176" s="460" t="s">
        <v>251</v>
      </c>
      <c r="C176" s="380">
        <f>+[8]BS17A!$D1198</f>
        <v>15</v>
      </c>
      <c r="D176" s="270">
        <f>+[8]BS17A!$U1198</f>
        <v>13770</v>
      </c>
      <c r="E176" s="345">
        <f>+[8]BS17A!$V1198</f>
        <v>206550</v>
      </c>
      <c r="F176" s="262"/>
    </row>
    <row r="177" spans="1:6" ht="24.75" customHeight="1" x14ac:dyDescent="0.2">
      <c r="A177" s="457" t="s">
        <v>252</v>
      </c>
      <c r="B177" s="460" t="s">
        <v>253</v>
      </c>
      <c r="C177" s="380">
        <f>+[8]BS17A!$D1199</f>
        <v>39</v>
      </c>
      <c r="D177" s="270">
        <f>+[8]BS17A!$U1199</f>
        <v>23350</v>
      </c>
      <c r="E177" s="345">
        <f>+[8]BS17A!$V1199</f>
        <v>910650</v>
      </c>
      <c r="F177" s="262"/>
    </row>
    <row r="178" spans="1:6" ht="12.75" customHeight="1" x14ac:dyDescent="0.2">
      <c r="A178" s="457" t="s">
        <v>254</v>
      </c>
      <c r="B178" s="460" t="s">
        <v>255</v>
      </c>
      <c r="C178" s="380">
        <f>+[8]BS17A!$D1200</f>
        <v>0</v>
      </c>
      <c r="D178" s="270">
        <f>+[8]BS17A!$U1200</f>
        <v>44580</v>
      </c>
      <c r="E178" s="345">
        <f>+[8]BS17A!$V1200</f>
        <v>0</v>
      </c>
      <c r="F178" s="262"/>
    </row>
    <row r="179" spans="1:6" ht="12.75" customHeight="1" x14ac:dyDescent="0.2">
      <c r="A179" s="457" t="s">
        <v>256</v>
      </c>
      <c r="B179" s="460" t="s">
        <v>257</v>
      </c>
      <c r="C179" s="380">
        <f>+[8]BS17A!$D1201</f>
        <v>144</v>
      </c>
      <c r="D179" s="270">
        <f>+[8]BS17A!$U1201</f>
        <v>49690</v>
      </c>
      <c r="E179" s="345">
        <f>+[8]BS17A!$V1201</f>
        <v>7155360</v>
      </c>
      <c r="F179" s="262"/>
    </row>
    <row r="180" spans="1:6" ht="24.75" customHeight="1" x14ac:dyDescent="0.2">
      <c r="A180" s="457" t="s">
        <v>258</v>
      </c>
      <c r="B180" s="460" t="s">
        <v>259</v>
      </c>
      <c r="C180" s="380">
        <f>+[8]BS17A!$D1202</f>
        <v>0</v>
      </c>
      <c r="D180" s="270">
        <f>+[8]BS17A!$U1202</f>
        <v>27870</v>
      </c>
      <c r="E180" s="345">
        <f>+[8]BS17A!$V1202</f>
        <v>0</v>
      </c>
      <c r="F180" s="262"/>
    </row>
    <row r="181" spans="1:6" ht="12.75" customHeight="1" x14ac:dyDescent="0.2">
      <c r="A181" s="457" t="s">
        <v>260</v>
      </c>
      <c r="B181" s="461" t="s">
        <v>261</v>
      </c>
      <c r="C181" s="380">
        <f>+[8]BS17A!$D1203</f>
        <v>0</v>
      </c>
      <c r="D181" s="270">
        <f>+[8]BS17A!$U1203</f>
        <v>215630</v>
      </c>
      <c r="E181" s="345">
        <f>+[8]BS17A!$V1203</f>
        <v>0</v>
      </c>
      <c r="F181" s="262"/>
    </row>
    <row r="182" spans="1:6" ht="12.75" customHeight="1" x14ac:dyDescent="0.2">
      <c r="A182" s="457" t="s">
        <v>262</v>
      </c>
      <c r="B182" s="460" t="s">
        <v>263</v>
      </c>
      <c r="C182" s="380">
        <f>+[8]BS17A!$D1204</f>
        <v>0</v>
      </c>
      <c r="D182" s="270">
        <f>+[8]BS17A!$U1204</f>
        <v>245140</v>
      </c>
      <c r="E182" s="345">
        <f>+[8]BS17A!$V1204</f>
        <v>0</v>
      </c>
      <c r="F182" s="262"/>
    </row>
    <row r="183" spans="1:6" ht="12.75" customHeight="1" x14ac:dyDescent="0.2">
      <c r="A183" s="457" t="s">
        <v>264</v>
      </c>
      <c r="B183" s="460" t="s">
        <v>265</v>
      </c>
      <c r="C183" s="380">
        <f>+[8]BS17A!$D1205</f>
        <v>0</v>
      </c>
      <c r="D183" s="270">
        <f>+[8]BS17A!$U1205</f>
        <v>199900</v>
      </c>
      <c r="E183" s="345">
        <f>+[8]BS17A!$V1205</f>
        <v>0</v>
      </c>
      <c r="F183" s="262"/>
    </row>
    <row r="184" spans="1:6" ht="24.75" customHeight="1" x14ac:dyDescent="0.2">
      <c r="A184" s="457" t="s">
        <v>266</v>
      </c>
      <c r="B184" s="461" t="s">
        <v>267</v>
      </c>
      <c r="C184" s="380">
        <f>+[8]BS17A!$D1206</f>
        <v>0</v>
      </c>
      <c r="D184" s="270">
        <f>+[8]BS17A!$U1206</f>
        <v>256770</v>
      </c>
      <c r="E184" s="345">
        <f>+[8]BS17A!$V1206</f>
        <v>0</v>
      </c>
      <c r="F184" s="262"/>
    </row>
    <row r="185" spans="1:6" ht="24.75" customHeight="1" x14ac:dyDescent="0.2">
      <c r="A185" s="457" t="s">
        <v>268</v>
      </c>
      <c r="B185" s="461" t="s">
        <v>269</v>
      </c>
      <c r="C185" s="380">
        <f>+[8]BS17A!$D1207</f>
        <v>0</v>
      </c>
      <c r="D185" s="270">
        <f>+[8]BS17A!$U1207</f>
        <v>262730</v>
      </c>
      <c r="E185" s="345">
        <f>+[8]BS17A!$V1207</f>
        <v>0</v>
      </c>
      <c r="F185" s="262"/>
    </row>
    <row r="186" spans="1:6" ht="24.75" customHeight="1" x14ac:dyDescent="0.2">
      <c r="A186" s="457" t="s">
        <v>270</v>
      </c>
      <c r="B186" s="461" t="s">
        <v>271</v>
      </c>
      <c r="C186" s="380">
        <f>+[8]BS17A!$D1208</f>
        <v>0</v>
      </c>
      <c r="D186" s="270">
        <f>+[8]BS17A!$U1208</f>
        <v>222180</v>
      </c>
      <c r="E186" s="345">
        <f>+[8]BS17A!$V1208</f>
        <v>0</v>
      </c>
      <c r="F186" s="262"/>
    </row>
    <row r="187" spans="1:6" ht="12.75" customHeight="1" x14ac:dyDescent="0.2">
      <c r="A187" s="457" t="s">
        <v>272</v>
      </c>
      <c r="B187" s="461" t="s">
        <v>273</v>
      </c>
      <c r="C187" s="380">
        <f>+[8]BS17A!$D1209</f>
        <v>0</v>
      </c>
      <c r="D187" s="270">
        <f>+[8]BS17A!$U1209</f>
        <v>237160</v>
      </c>
      <c r="E187" s="345">
        <f>+[8]BS17A!$V1209</f>
        <v>0</v>
      </c>
      <c r="F187" s="262"/>
    </row>
    <row r="188" spans="1:6" ht="12.75" customHeight="1" x14ac:dyDescent="0.2">
      <c r="A188" s="457" t="s">
        <v>274</v>
      </c>
      <c r="B188" s="461" t="s">
        <v>275</v>
      </c>
      <c r="C188" s="380">
        <f>+[8]BS17A!$D1210</f>
        <v>0</v>
      </c>
      <c r="D188" s="270">
        <f>+[8]BS17A!$U1210</f>
        <v>283580</v>
      </c>
      <c r="E188" s="345">
        <f>+[8]BS17A!$V1210</f>
        <v>0</v>
      </c>
      <c r="F188" s="262"/>
    </row>
    <row r="189" spans="1:6" ht="24.75" customHeight="1" x14ac:dyDescent="0.2">
      <c r="A189" s="457" t="s">
        <v>276</v>
      </c>
      <c r="B189" s="460" t="s">
        <v>277</v>
      </c>
      <c r="C189" s="380">
        <f>+[8]BS17A!$D1211</f>
        <v>0</v>
      </c>
      <c r="D189" s="270">
        <f>+[8]BS17A!$U1211</f>
        <v>251470</v>
      </c>
      <c r="E189" s="345">
        <f>+[8]BS17A!$V1211</f>
        <v>0</v>
      </c>
      <c r="F189" s="262"/>
    </row>
    <row r="190" spans="1:6" ht="24.75" customHeight="1" x14ac:dyDescent="0.2">
      <c r="A190" s="457" t="s">
        <v>278</v>
      </c>
      <c r="B190" s="461" t="s">
        <v>279</v>
      </c>
      <c r="C190" s="380">
        <f>+[8]BS17A!$D1212</f>
        <v>0</v>
      </c>
      <c r="D190" s="270">
        <f>+[8]BS17A!$U1212</f>
        <v>1840310</v>
      </c>
      <c r="E190" s="345">
        <f>+[8]BS17A!$V1212</f>
        <v>0</v>
      </c>
      <c r="F190" s="262"/>
    </row>
    <row r="191" spans="1:6" ht="12.75" customHeight="1" x14ac:dyDescent="0.2">
      <c r="A191" s="457" t="s">
        <v>280</v>
      </c>
      <c r="B191" s="461" t="s">
        <v>281</v>
      </c>
      <c r="C191" s="380">
        <f>+[8]BS17A!$D1213</f>
        <v>0</v>
      </c>
      <c r="D191" s="270">
        <f>+[8]BS17A!$U1213</f>
        <v>1149460</v>
      </c>
      <c r="E191" s="345">
        <f>+[8]BS17A!$V1213</f>
        <v>0</v>
      </c>
      <c r="F191" s="262"/>
    </row>
    <row r="192" spans="1:6" ht="12.75" customHeight="1" x14ac:dyDescent="0.2">
      <c r="A192" s="435" t="s">
        <v>282</v>
      </c>
      <c r="B192" s="461" t="s">
        <v>283</v>
      </c>
      <c r="C192" s="380">
        <f>+[8]BS17A!$D1214</f>
        <v>0</v>
      </c>
      <c r="D192" s="270">
        <f>+[8]BS17A!$U1214</f>
        <v>1112540</v>
      </c>
      <c r="E192" s="345">
        <f>+[8]BS17A!$V1214</f>
        <v>0</v>
      </c>
      <c r="F192" s="262"/>
    </row>
    <row r="193" spans="1:6" ht="24.75" customHeight="1" x14ac:dyDescent="0.2">
      <c r="A193" s="457" t="s">
        <v>284</v>
      </c>
      <c r="B193" s="461" t="s">
        <v>285</v>
      </c>
      <c r="C193" s="380">
        <f>+[8]BS17A!$D1215</f>
        <v>0</v>
      </c>
      <c r="D193" s="270">
        <f>+[8]BS17A!$U1215</f>
        <v>1165530</v>
      </c>
      <c r="E193" s="345">
        <f>+[8]BS17A!$V1215</f>
        <v>0</v>
      </c>
      <c r="F193" s="262"/>
    </row>
    <row r="194" spans="1:6" ht="12.75" customHeight="1" x14ac:dyDescent="0.2">
      <c r="A194" s="435" t="s">
        <v>286</v>
      </c>
      <c r="B194" s="461" t="s">
        <v>287</v>
      </c>
      <c r="C194" s="380">
        <f>+[8]BS17A!$D1216</f>
        <v>0</v>
      </c>
      <c r="D194" s="270">
        <f>+[8]BS17A!$U1216</f>
        <v>164930</v>
      </c>
      <c r="E194" s="345">
        <f>+[8]BS17A!$V1216</f>
        <v>0</v>
      </c>
      <c r="F194" s="262"/>
    </row>
    <row r="195" spans="1:6" ht="12.75" customHeight="1" x14ac:dyDescent="0.2">
      <c r="A195" s="435" t="s">
        <v>288</v>
      </c>
      <c r="B195" s="461" t="s">
        <v>289</v>
      </c>
      <c r="C195" s="380">
        <f>+[8]BS17A!$D1217</f>
        <v>0</v>
      </c>
      <c r="D195" s="270">
        <f>+[8]BS17A!$U1217</f>
        <v>376370</v>
      </c>
      <c r="E195" s="345">
        <f>+[8]BS17A!$V1217</f>
        <v>0</v>
      </c>
      <c r="F195" s="262"/>
    </row>
    <row r="196" spans="1:6" ht="12.75" customHeight="1" x14ac:dyDescent="0.2">
      <c r="A196" s="457" t="s">
        <v>290</v>
      </c>
      <c r="B196" s="461" t="s">
        <v>291</v>
      </c>
      <c r="C196" s="380">
        <f>+[8]BS17A!$D1218</f>
        <v>0</v>
      </c>
      <c r="D196" s="270">
        <f>+[8]BS17A!$U1218</f>
        <v>139530</v>
      </c>
      <c r="E196" s="345">
        <f>+[8]BS17A!$V1218</f>
        <v>0</v>
      </c>
      <c r="F196" s="262"/>
    </row>
    <row r="197" spans="1:6" ht="12.75" customHeight="1" x14ac:dyDescent="0.2">
      <c r="A197" s="457" t="s">
        <v>292</v>
      </c>
      <c r="B197" s="461" t="s">
        <v>293</v>
      </c>
      <c r="C197" s="380">
        <f>+[8]BS17A!$D1219</f>
        <v>0</v>
      </c>
      <c r="D197" s="270">
        <f>+[8]BS17A!$U1219</f>
        <v>1130520</v>
      </c>
      <c r="E197" s="345">
        <f>+[8]BS17A!$V1219</f>
        <v>0</v>
      </c>
      <c r="F197" s="262"/>
    </row>
    <row r="198" spans="1:6" ht="12.75" customHeight="1" x14ac:dyDescent="0.2">
      <c r="A198" s="457" t="s">
        <v>294</v>
      </c>
      <c r="B198" s="461" t="s">
        <v>295</v>
      </c>
      <c r="C198" s="380">
        <f>+[8]BS17A!$D1220</f>
        <v>0</v>
      </c>
      <c r="D198" s="270">
        <f>+[8]BS17A!$U1220</f>
        <v>1130520</v>
      </c>
      <c r="E198" s="345">
        <f>+[8]BS17A!$V1220</f>
        <v>0</v>
      </c>
      <c r="F198" s="262"/>
    </row>
    <row r="199" spans="1:6" ht="12.75" customHeight="1" x14ac:dyDescent="0.2">
      <c r="A199" s="457">
        <v>1801001</v>
      </c>
      <c r="B199" s="459" t="s">
        <v>296</v>
      </c>
      <c r="C199" s="380">
        <f>+[8]BS17A!$D1354</f>
        <v>51</v>
      </c>
      <c r="D199" s="270">
        <f>+[8]BS17A!$U1354</f>
        <v>33720</v>
      </c>
      <c r="E199" s="345">
        <f>+[8]BS17A!$V1354</f>
        <v>1719720</v>
      </c>
      <c r="F199" s="262"/>
    </row>
    <row r="200" spans="1:6" ht="12.75" customHeight="1" x14ac:dyDescent="0.2">
      <c r="A200" s="457">
        <v>1801003</v>
      </c>
      <c r="B200" s="461" t="s">
        <v>297</v>
      </c>
      <c r="C200" s="380">
        <f>+[8]BS17A!$D1355</f>
        <v>0</v>
      </c>
      <c r="D200" s="270">
        <f>+[8]BS17A!$U1355</f>
        <v>40670</v>
      </c>
      <c r="E200" s="345">
        <f>+[8]BS17A!$V1355</f>
        <v>0</v>
      </c>
      <c r="F200" s="262"/>
    </row>
    <row r="201" spans="1:6" ht="12.75" customHeight="1" x14ac:dyDescent="0.2">
      <c r="A201" s="457">
        <v>1801006</v>
      </c>
      <c r="B201" s="459" t="s">
        <v>298</v>
      </c>
      <c r="C201" s="380">
        <f>+[8]BS17A!$D1356</f>
        <v>12</v>
      </c>
      <c r="D201" s="270">
        <f>+[8]BS17A!$U1356</f>
        <v>43320</v>
      </c>
      <c r="E201" s="345">
        <f>+[8]BS17A!$V1356</f>
        <v>519840</v>
      </c>
      <c r="F201" s="262"/>
    </row>
    <row r="202" spans="1:6" ht="24.75" customHeight="1" x14ac:dyDescent="0.2">
      <c r="A202" s="457" t="s">
        <v>299</v>
      </c>
      <c r="B202" s="459" t="s">
        <v>300</v>
      </c>
      <c r="C202" s="380">
        <f>[8]BS17A!D1036</f>
        <v>0</v>
      </c>
      <c r="D202" s="270">
        <f>[8]BS17A!U1036</f>
        <v>9120</v>
      </c>
      <c r="E202" s="345">
        <f>[8]BS17A!V1036</f>
        <v>0</v>
      </c>
      <c r="F202" s="262"/>
    </row>
    <row r="203" spans="1:6" ht="24.75" customHeight="1" x14ac:dyDescent="0.2">
      <c r="A203" s="464" t="s">
        <v>301</v>
      </c>
      <c r="B203" s="462" t="s">
        <v>302</v>
      </c>
      <c r="C203" s="417">
        <f>[8]BS17A!D807</f>
        <v>0</v>
      </c>
      <c r="D203" s="355">
        <f>[8]BS17A!U807</f>
        <v>386950</v>
      </c>
      <c r="E203" s="356">
        <f>[8]BS17A!V807</f>
        <v>0</v>
      </c>
      <c r="F203" s="262"/>
    </row>
    <row r="204" spans="1:6" ht="17.25" customHeight="1" x14ac:dyDescent="0.2">
      <c r="A204" s="442"/>
      <c r="B204" s="441" t="s">
        <v>303</v>
      </c>
      <c r="C204" s="279">
        <f>SUM(C173:C203)</f>
        <v>1050</v>
      </c>
      <c r="D204" s="348"/>
      <c r="E204" s="349">
        <f>SUM(E173:E203)</f>
        <v>14484380</v>
      </c>
      <c r="F204" s="262"/>
    </row>
    <row r="205" spans="1:6" ht="21.75" customHeight="1" x14ac:dyDescent="0.2">
      <c r="A205" s="262"/>
      <c r="B205" s="262"/>
      <c r="C205" s="262"/>
      <c r="D205" s="262"/>
      <c r="E205" s="262"/>
      <c r="F205" s="262"/>
    </row>
    <row r="206" spans="1:6" ht="19.5" customHeight="1" x14ac:dyDescent="0.2">
      <c r="A206" s="262"/>
      <c r="B206" s="262"/>
      <c r="C206" s="262"/>
      <c r="D206" s="262"/>
      <c r="E206" s="262"/>
      <c r="F206" s="262"/>
    </row>
    <row r="207" spans="1:6" ht="18" customHeight="1" x14ac:dyDescent="0.2">
      <c r="A207" s="583" t="s">
        <v>304</v>
      </c>
      <c r="B207" s="584"/>
      <c r="C207" s="584"/>
      <c r="D207" s="584"/>
      <c r="E207" s="585"/>
      <c r="F207" s="259"/>
    </row>
    <row r="208" spans="1:6" ht="39.75" customHeight="1" x14ac:dyDescent="0.2">
      <c r="A208" s="264" t="s">
        <v>8</v>
      </c>
      <c r="B208" s="264" t="s">
        <v>9</v>
      </c>
      <c r="C208" s="504" t="s">
        <v>10</v>
      </c>
      <c r="D208" s="310" t="s">
        <v>11</v>
      </c>
      <c r="E208" s="506" t="s">
        <v>12</v>
      </c>
      <c r="F208" s="259"/>
    </row>
    <row r="209" spans="1:6" ht="12.75" customHeight="1" x14ac:dyDescent="0.2">
      <c r="A209" s="434" t="s">
        <v>305</v>
      </c>
      <c r="B209" s="451" t="s">
        <v>306</v>
      </c>
      <c r="C209" s="383">
        <f>+[8]BS17A!$D18</f>
        <v>0</v>
      </c>
      <c r="D209" s="275">
        <f>+[8]BS17A!$U18</f>
        <v>14110</v>
      </c>
      <c r="E209" s="344">
        <f>+[8]BS17A!$V18</f>
        <v>0</v>
      </c>
      <c r="F209" s="262"/>
    </row>
    <row r="210" spans="1:6" ht="12.75" customHeight="1" x14ac:dyDescent="0.2">
      <c r="A210" s="435" t="s">
        <v>307</v>
      </c>
      <c r="B210" s="431" t="s">
        <v>308</v>
      </c>
      <c r="C210" s="380">
        <f>+[8]BS17A!$D19</f>
        <v>64</v>
      </c>
      <c r="D210" s="270">
        <f>+[8]BS17A!$U19</f>
        <v>14110</v>
      </c>
      <c r="E210" s="345">
        <f>+[8]BS17A!$V19</f>
        <v>903040</v>
      </c>
      <c r="F210" s="262"/>
    </row>
    <row r="211" spans="1:6" ht="12.75" customHeight="1" x14ac:dyDescent="0.2">
      <c r="A211" s="435" t="s">
        <v>309</v>
      </c>
      <c r="B211" s="430" t="s">
        <v>310</v>
      </c>
      <c r="C211" s="380">
        <f>+[8]BS17A!$D47</f>
        <v>0</v>
      </c>
      <c r="D211" s="270">
        <f>+[8]BS17A!$U47</f>
        <v>1350</v>
      </c>
      <c r="E211" s="345">
        <f>+[8]BS17A!$V47</f>
        <v>0</v>
      </c>
      <c r="F211" s="262"/>
    </row>
    <row r="212" spans="1:6" ht="12.75" customHeight="1" x14ac:dyDescent="0.2">
      <c r="A212" s="435" t="s">
        <v>311</v>
      </c>
      <c r="B212" s="430" t="s">
        <v>312</v>
      </c>
      <c r="C212" s="380">
        <f>+[8]BS17A!$D48</f>
        <v>478</v>
      </c>
      <c r="D212" s="270">
        <f>+[8]BS17A!$U48</f>
        <v>660</v>
      </c>
      <c r="E212" s="345">
        <f>+[8]BS17A!$V48</f>
        <v>315480</v>
      </c>
      <c r="F212" s="262"/>
    </row>
    <row r="213" spans="1:6" ht="12.75" customHeight="1" x14ac:dyDescent="0.2">
      <c r="A213" s="435" t="s">
        <v>313</v>
      </c>
      <c r="B213" s="431" t="s">
        <v>314</v>
      </c>
      <c r="C213" s="380">
        <f>+[8]BS17A!$D49</f>
        <v>476</v>
      </c>
      <c r="D213" s="270">
        <f>+[8]BS17A!$U49</f>
        <v>2000</v>
      </c>
      <c r="E213" s="345">
        <f>+[8]BS17A!$V49</f>
        <v>952000</v>
      </c>
      <c r="F213" s="262"/>
    </row>
    <row r="214" spans="1:6" ht="12.75" customHeight="1" x14ac:dyDescent="0.2">
      <c r="A214" s="435" t="s">
        <v>315</v>
      </c>
      <c r="B214" s="431" t="s">
        <v>316</v>
      </c>
      <c r="C214" s="380">
        <f>+[8]BS17A!$D50</f>
        <v>55</v>
      </c>
      <c r="D214" s="270">
        <f>+[8]BS17A!$U50</f>
        <v>15030</v>
      </c>
      <c r="E214" s="345">
        <f>+[8]BS17A!$V50</f>
        <v>826650</v>
      </c>
      <c r="F214" s="262"/>
    </row>
    <row r="215" spans="1:6" ht="12.75" customHeight="1" x14ac:dyDescent="0.2">
      <c r="A215" s="435" t="s">
        <v>317</v>
      </c>
      <c r="B215" s="430" t="s">
        <v>318</v>
      </c>
      <c r="C215" s="380">
        <f>+[8]BS17A!$D51</f>
        <v>92</v>
      </c>
      <c r="D215" s="270">
        <f>+[8]BS17A!$U51</f>
        <v>34510</v>
      </c>
      <c r="E215" s="345">
        <f>+[8]BS17A!$V51</f>
        <v>3174920</v>
      </c>
      <c r="F215" s="262"/>
    </row>
    <row r="216" spans="1:6" ht="12.75" customHeight="1" x14ac:dyDescent="0.2">
      <c r="A216" s="457" t="s">
        <v>319</v>
      </c>
      <c r="B216" s="430" t="s">
        <v>320</v>
      </c>
      <c r="C216" s="380">
        <f>+[8]BS17A!D52</f>
        <v>31</v>
      </c>
      <c r="D216" s="357"/>
      <c r="E216" s="345">
        <f>+[8]BS17A!V52</f>
        <v>266910</v>
      </c>
      <c r="F216" s="262"/>
    </row>
    <row r="217" spans="1:6" ht="12.75" customHeight="1" x14ac:dyDescent="0.2">
      <c r="A217" s="436" t="s">
        <v>321</v>
      </c>
      <c r="B217" s="432" t="s">
        <v>322</v>
      </c>
      <c r="C217" s="395">
        <f>+[8]BS17A!$D1861</f>
        <v>54</v>
      </c>
      <c r="D217" s="277">
        <f>+[8]BS17A!$U1861</f>
        <v>27970</v>
      </c>
      <c r="E217" s="350">
        <f>+[8]BS17A!$V1861</f>
        <v>1510380</v>
      </c>
      <c r="F217" s="262"/>
    </row>
    <row r="218" spans="1:6" ht="12.75" x14ac:dyDescent="0.2">
      <c r="A218" s="442"/>
      <c r="B218" s="441" t="s">
        <v>323</v>
      </c>
      <c r="C218" s="279">
        <f>SUM(C209:C217)</f>
        <v>1250</v>
      </c>
      <c r="D218" s="348"/>
      <c r="E218" s="356">
        <f>SUM(E209:E217)</f>
        <v>7949380</v>
      </c>
      <c r="F218" s="262"/>
    </row>
    <row r="219" spans="1:6" ht="17.25" customHeight="1" x14ac:dyDescent="0.2">
      <c r="A219" s="262"/>
      <c r="B219" s="262"/>
      <c r="C219" s="262"/>
      <c r="D219" s="262"/>
      <c r="E219" s="262"/>
      <c r="F219" s="262"/>
    </row>
    <row r="220" spans="1:6" ht="18" customHeight="1" x14ac:dyDescent="0.2">
      <c r="A220" s="262"/>
      <c r="B220" s="262"/>
      <c r="C220" s="262"/>
      <c r="D220" s="262"/>
      <c r="E220" s="262"/>
      <c r="F220" s="262"/>
    </row>
    <row r="221" spans="1:6" ht="27.75" customHeight="1" x14ac:dyDescent="0.2">
      <c r="A221" s="605" t="s">
        <v>324</v>
      </c>
      <c r="B221" s="606"/>
      <c r="C221" s="607"/>
      <c r="D221" s="262"/>
      <c r="E221" s="262"/>
      <c r="F221" s="259"/>
    </row>
    <row r="222" spans="1:6" ht="42.75" customHeight="1" x14ac:dyDescent="0.2">
      <c r="A222" s="264" t="s">
        <v>8</v>
      </c>
      <c r="B222" s="264" t="s">
        <v>10</v>
      </c>
      <c r="C222" s="264" t="s">
        <v>12</v>
      </c>
      <c r="D222" s="259"/>
      <c r="E222" s="262"/>
      <c r="F222" s="262"/>
    </row>
    <row r="223" spans="1:6" ht="15" customHeight="1" x14ac:dyDescent="0.2">
      <c r="A223" s="434" t="s">
        <v>325</v>
      </c>
      <c r="B223" s="452" t="s">
        <v>326</v>
      </c>
      <c r="C223" s="358"/>
      <c r="D223" s="359"/>
      <c r="E223" s="262"/>
      <c r="F223" s="262"/>
    </row>
    <row r="224" spans="1:6" ht="15" customHeight="1" x14ac:dyDescent="0.2">
      <c r="A224" s="455" t="s">
        <v>327</v>
      </c>
      <c r="B224" s="453" t="s">
        <v>328</v>
      </c>
      <c r="C224" s="360"/>
      <c r="D224" s="359"/>
      <c r="E224" s="262"/>
      <c r="F224" s="262"/>
    </row>
    <row r="225" spans="1:7" ht="18" customHeight="1" x14ac:dyDescent="0.2">
      <c r="A225" s="456"/>
      <c r="B225" s="454" t="s">
        <v>329</v>
      </c>
      <c r="C225" s="416">
        <f>SUM(C223:C224)</f>
        <v>0</v>
      </c>
      <c r="D225" s="359"/>
      <c r="E225" s="262"/>
      <c r="F225" s="262"/>
    </row>
    <row r="226" spans="1:7" ht="18" customHeight="1" x14ac:dyDescent="0.2">
      <c r="A226" s="262"/>
      <c r="B226" s="262"/>
      <c r="C226" s="262"/>
      <c r="D226" s="359"/>
      <c r="E226" s="359"/>
      <c r="F226" s="359"/>
    </row>
    <row r="227" spans="1:7" ht="18" customHeight="1" x14ac:dyDescent="0.2">
      <c r="A227" s="262"/>
      <c r="B227" s="262"/>
      <c r="C227" s="262"/>
      <c r="D227" s="262"/>
      <c r="E227" s="262"/>
      <c r="F227" s="359"/>
      <c r="G227" s="361"/>
    </row>
    <row r="228" spans="1:7" ht="18" customHeight="1" x14ac:dyDescent="0.2">
      <c r="A228" s="583" t="s">
        <v>330</v>
      </c>
      <c r="B228" s="584"/>
      <c r="C228" s="584"/>
      <c r="D228" s="584"/>
      <c r="E228" s="585"/>
      <c r="F228" s="359"/>
      <c r="G228" s="361"/>
    </row>
    <row r="229" spans="1:7" ht="56.25" customHeight="1" x14ac:dyDescent="0.2">
      <c r="A229" s="264" t="s">
        <v>8</v>
      </c>
      <c r="B229" s="264" t="s">
        <v>9</v>
      </c>
      <c r="C229" s="504" t="s">
        <v>10</v>
      </c>
      <c r="D229" s="310" t="s">
        <v>11</v>
      </c>
      <c r="E229" s="506" t="s">
        <v>12</v>
      </c>
      <c r="F229" s="359"/>
      <c r="G229" s="361"/>
    </row>
    <row r="230" spans="1:7" ht="15" customHeight="1" x14ac:dyDescent="0.2">
      <c r="A230" s="434" t="s">
        <v>331</v>
      </c>
      <c r="B230" s="451" t="s">
        <v>332</v>
      </c>
      <c r="C230" s="414">
        <f>+[8]BS17A!$D1941</f>
        <v>435</v>
      </c>
      <c r="D230" s="275">
        <f>+[8]BS17A!$U1941</f>
        <v>19310</v>
      </c>
      <c r="E230" s="344">
        <f>+[8]BS17A!$V1941</f>
        <v>8399850</v>
      </c>
      <c r="F230" s="262"/>
    </row>
    <row r="231" spans="1:7" ht="15" customHeight="1" x14ac:dyDescent="0.2">
      <c r="A231" s="436" t="s">
        <v>333</v>
      </c>
      <c r="B231" s="432" t="s">
        <v>334</v>
      </c>
      <c r="C231" s="415">
        <f>+[8]BS17A!$D1942</f>
        <v>0</v>
      </c>
      <c r="D231" s="277">
        <f>+[8]BS17A!$U1942</f>
        <v>242060</v>
      </c>
      <c r="E231" s="350">
        <f>+[8]BS17A!$V1942</f>
        <v>0</v>
      </c>
      <c r="F231" s="262"/>
    </row>
    <row r="232" spans="1:7" ht="18" customHeight="1" x14ac:dyDescent="0.2">
      <c r="A232" s="442"/>
      <c r="B232" s="441" t="s">
        <v>335</v>
      </c>
      <c r="C232" s="279">
        <f>SUM(C230:C231)</f>
        <v>435</v>
      </c>
      <c r="D232" s="348"/>
      <c r="E232" s="349">
        <f>SUM(E230:E231)</f>
        <v>8399850</v>
      </c>
      <c r="F232" s="262"/>
    </row>
    <row r="233" spans="1:7" ht="18" customHeight="1" x14ac:dyDescent="0.2">
      <c r="A233" s="362"/>
      <c r="B233" s="363"/>
      <c r="C233" s="364"/>
      <c r="D233" s="362"/>
      <c r="E233" s="362"/>
      <c r="F233" s="262"/>
    </row>
    <row r="234" spans="1:7" ht="18" customHeight="1" x14ac:dyDescent="0.2">
      <c r="A234" s="362"/>
      <c r="B234" s="363"/>
      <c r="C234" s="364"/>
      <c r="D234" s="362"/>
      <c r="E234" s="362"/>
      <c r="F234" s="262"/>
    </row>
    <row r="235" spans="1:7" ht="18" customHeight="1" x14ac:dyDescent="0.2">
      <c r="A235" s="591" t="s">
        <v>336</v>
      </c>
      <c r="B235" s="584"/>
      <c r="C235" s="584"/>
      <c r="D235" s="584"/>
      <c r="E235" s="585"/>
      <c r="F235" s="262"/>
    </row>
    <row r="236" spans="1:7" ht="41.25" customHeight="1" x14ac:dyDescent="0.2">
      <c r="A236" s="264" t="s">
        <v>8</v>
      </c>
      <c r="B236" s="264" t="s">
        <v>9</v>
      </c>
      <c r="C236" s="504" t="s">
        <v>10</v>
      </c>
      <c r="D236" s="310" t="s">
        <v>11</v>
      </c>
      <c r="E236" s="506" t="s">
        <v>12</v>
      </c>
      <c r="F236" s="262"/>
    </row>
    <row r="237" spans="1:7" ht="18" customHeight="1" x14ac:dyDescent="0.2">
      <c r="A237" s="341" t="s">
        <v>337</v>
      </c>
      <c r="B237" s="287" t="s">
        <v>338</v>
      </c>
      <c r="C237" s="365">
        <f>[8]BS17A!D768</f>
        <v>505</v>
      </c>
      <c r="D237" s="366"/>
      <c r="E237" s="367">
        <f>[8]BS17A!V768</f>
        <v>3666780</v>
      </c>
      <c r="F237" s="262"/>
    </row>
    <row r="238" spans="1:7" ht="18" customHeight="1" x14ac:dyDescent="0.2">
      <c r="A238" s="362"/>
      <c r="B238" s="363"/>
      <c r="C238" s="364"/>
      <c r="D238" s="362"/>
      <c r="E238" s="362"/>
      <c r="F238" s="262"/>
    </row>
    <row r="239" spans="1:7" ht="18" customHeight="1" x14ac:dyDescent="0.2">
      <c r="A239" s="591" t="s">
        <v>339</v>
      </c>
      <c r="B239" s="592"/>
      <c r="C239" s="592"/>
      <c r="D239" s="592"/>
      <c r="E239" s="593"/>
      <c r="F239" s="262"/>
    </row>
    <row r="240" spans="1:7" ht="43.5" customHeight="1" x14ac:dyDescent="0.2">
      <c r="A240" s="264" t="s">
        <v>8</v>
      </c>
      <c r="B240" s="504" t="s">
        <v>340</v>
      </c>
      <c r="C240" s="309" t="s">
        <v>341</v>
      </c>
      <c r="D240" s="310" t="s">
        <v>11</v>
      </c>
      <c r="E240" s="506" t="s">
        <v>12</v>
      </c>
      <c r="F240" s="262"/>
    </row>
    <row r="241" spans="1:6" ht="15" customHeight="1" x14ac:dyDescent="0.2">
      <c r="A241" s="274" t="s">
        <v>342</v>
      </c>
      <c r="B241" s="397" t="s">
        <v>343</v>
      </c>
      <c r="C241" s="383">
        <f>+[8]BS17A!$D1944</f>
        <v>0</v>
      </c>
      <c r="D241" s="275">
        <f>+[8]BS17A!$U1944</f>
        <v>247230</v>
      </c>
      <c r="E241" s="344">
        <f>+[8]BS17A!$V1944</f>
        <v>0</v>
      </c>
      <c r="F241" s="262"/>
    </row>
    <row r="242" spans="1:6" ht="15" customHeight="1" x14ac:dyDescent="0.2">
      <c r="A242" s="269" t="s">
        <v>344</v>
      </c>
      <c r="B242" s="398" t="s">
        <v>345</v>
      </c>
      <c r="C242" s="380">
        <f>+[8]BS17A!$D1945</f>
        <v>0</v>
      </c>
      <c r="D242" s="270">
        <f>+[8]BS17A!$U1945</f>
        <v>35130</v>
      </c>
      <c r="E242" s="345">
        <f>+[8]BS17A!$V1945</f>
        <v>0</v>
      </c>
      <c r="F242" s="262"/>
    </row>
    <row r="243" spans="1:6" ht="15" customHeight="1" x14ac:dyDescent="0.2">
      <c r="A243" s="269" t="s">
        <v>346</v>
      </c>
      <c r="B243" s="398" t="s">
        <v>347</v>
      </c>
      <c r="C243" s="380">
        <f>+[8]BS17A!$D1946</f>
        <v>0</v>
      </c>
      <c r="D243" s="270">
        <f>+[8]BS17A!$U1946</f>
        <v>132520</v>
      </c>
      <c r="E243" s="345">
        <f>+[8]BS17A!$V1946</f>
        <v>0</v>
      </c>
      <c r="F243" s="262"/>
    </row>
    <row r="244" spans="1:6" ht="15" customHeight="1" x14ac:dyDescent="0.2">
      <c r="A244" s="269" t="s">
        <v>348</v>
      </c>
      <c r="B244" s="398" t="s">
        <v>349</v>
      </c>
      <c r="C244" s="380">
        <f>+[8]BS17A!$D1947</f>
        <v>0</v>
      </c>
      <c r="D244" s="270">
        <f>+[8]BS17A!$U1947</f>
        <v>132520</v>
      </c>
      <c r="E244" s="345">
        <f>+[8]BS17A!$V1947</f>
        <v>0</v>
      </c>
      <c r="F244" s="262"/>
    </row>
    <row r="245" spans="1:6" ht="15" customHeight="1" x14ac:dyDescent="0.2">
      <c r="A245" s="269" t="s">
        <v>350</v>
      </c>
      <c r="B245" s="398" t="s">
        <v>351</v>
      </c>
      <c r="C245" s="380">
        <f>+[8]BS17A!$D1948</f>
        <v>0</v>
      </c>
      <c r="D245" s="270">
        <f>+[8]BS17A!$U1948</f>
        <v>241260</v>
      </c>
      <c r="E245" s="345">
        <f>+[8]BS17A!$V1948</f>
        <v>0</v>
      </c>
      <c r="F245" s="262"/>
    </row>
    <row r="246" spans="1:6" ht="15" customHeight="1" x14ac:dyDescent="0.2">
      <c r="A246" s="269" t="s">
        <v>352</v>
      </c>
      <c r="B246" s="398" t="s">
        <v>353</v>
      </c>
      <c r="C246" s="380">
        <f>+[8]BS17A!$D1949</f>
        <v>0</v>
      </c>
      <c r="D246" s="270">
        <f>+[8]BS17A!$U1949</f>
        <v>370240</v>
      </c>
      <c r="E246" s="345">
        <f>+[8]BS17A!$V1949</f>
        <v>0</v>
      </c>
      <c r="F246" s="262"/>
    </row>
    <row r="247" spans="1:6" ht="15" customHeight="1" x14ac:dyDescent="0.2">
      <c r="A247" s="269" t="s">
        <v>354</v>
      </c>
      <c r="B247" s="398" t="s">
        <v>355</v>
      </c>
      <c r="C247" s="380">
        <f>+[8]BS17A!$D1950</f>
        <v>0</v>
      </c>
      <c r="D247" s="270">
        <f>+[8]BS17A!$U1950</f>
        <v>631610</v>
      </c>
      <c r="E247" s="345">
        <f>+[8]BS17A!$V1950</f>
        <v>0</v>
      </c>
      <c r="F247" s="262"/>
    </row>
    <row r="248" spans="1:6" ht="15" customHeight="1" x14ac:dyDescent="0.2">
      <c r="A248" s="292" t="s">
        <v>356</v>
      </c>
      <c r="B248" s="398" t="s">
        <v>357</v>
      </c>
      <c r="C248" s="380">
        <f>+[8]BS17A!$D1951</f>
        <v>0</v>
      </c>
      <c r="D248" s="270">
        <f>+[8]BS17A!$U1951</f>
        <v>131550</v>
      </c>
      <c r="E248" s="345">
        <f>+[8]BS17A!$V1951</f>
        <v>0</v>
      </c>
      <c r="F248" s="262"/>
    </row>
    <row r="249" spans="1:6" ht="15" customHeight="1" x14ac:dyDescent="0.2">
      <c r="A249" s="292" t="s">
        <v>358</v>
      </c>
      <c r="B249" s="398" t="s">
        <v>359</v>
      </c>
      <c r="C249" s="380">
        <f>+[8]BS17A!$D1952</f>
        <v>0</v>
      </c>
      <c r="D249" s="270">
        <f>+[8]BS17A!$U1952</f>
        <v>354560</v>
      </c>
      <c r="E249" s="345">
        <f>+[8]BS17A!$V1952</f>
        <v>0</v>
      </c>
      <c r="F249" s="262"/>
    </row>
    <row r="250" spans="1:6" ht="15" customHeight="1" x14ac:dyDescent="0.2">
      <c r="A250" s="292" t="s">
        <v>360</v>
      </c>
      <c r="B250" s="398" t="s">
        <v>361</v>
      </c>
      <c r="C250" s="410">
        <f>+[8]BS17A!$D1953</f>
        <v>0</v>
      </c>
      <c r="D250" s="272">
        <f>+[8]BS17A!$U1953</f>
        <v>149290</v>
      </c>
      <c r="E250" s="368">
        <f>+[8]BS17A!$V1953</f>
        <v>0</v>
      </c>
      <c r="F250" s="262"/>
    </row>
    <row r="251" spans="1:6" ht="15" customHeight="1" x14ac:dyDescent="0.2">
      <c r="A251" s="292" t="s">
        <v>362</v>
      </c>
      <c r="B251" s="398" t="s">
        <v>363</v>
      </c>
      <c r="C251" s="410">
        <f>+[8]BS17A!$D1954</f>
        <v>0</v>
      </c>
      <c r="D251" s="272">
        <f>+[8]BS17A!$U1954</f>
        <v>129730</v>
      </c>
      <c r="E251" s="368">
        <f>+[8]BS17A!$V1954</f>
        <v>0</v>
      </c>
      <c r="F251" s="262"/>
    </row>
    <row r="252" spans="1:6" ht="15" customHeight="1" x14ac:dyDescent="0.2">
      <c r="A252" s="292" t="s">
        <v>364</v>
      </c>
      <c r="B252" s="398" t="s">
        <v>365</v>
      </c>
      <c r="C252" s="410">
        <f>+[8]BS17A!$D1955</f>
        <v>0</v>
      </c>
      <c r="D252" s="272">
        <f>+[8]BS17A!$U1955</f>
        <v>197230</v>
      </c>
      <c r="E252" s="368">
        <f>+[8]BS17A!$V1955</f>
        <v>0</v>
      </c>
      <c r="F252" s="262"/>
    </row>
    <row r="253" spans="1:6" ht="15" customHeight="1" x14ac:dyDescent="0.2">
      <c r="A253" s="292" t="s">
        <v>366</v>
      </c>
      <c r="B253" s="398" t="s">
        <v>367</v>
      </c>
      <c r="C253" s="410">
        <f>+[8]BS17A!$D1956</f>
        <v>0</v>
      </c>
      <c r="D253" s="272">
        <f>+[8]BS17A!$U1956</f>
        <v>51900</v>
      </c>
      <c r="E253" s="368">
        <f>+[8]BS17A!$V1956</f>
        <v>0</v>
      </c>
      <c r="F253" s="262"/>
    </row>
    <row r="254" spans="1:6" ht="15" customHeight="1" x14ac:dyDescent="0.2">
      <c r="A254" s="327" t="s">
        <v>368</v>
      </c>
      <c r="B254" s="409" t="s">
        <v>369</v>
      </c>
      <c r="C254" s="395">
        <f>+[8]BS17A!$D1957</f>
        <v>0</v>
      </c>
      <c r="D254" s="277">
        <f>+[8]BS17A!$U1957</f>
        <v>38790</v>
      </c>
      <c r="E254" s="350">
        <f>+[8]BS17A!$V1957</f>
        <v>0</v>
      </c>
      <c r="F254" s="262"/>
    </row>
    <row r="255" spans="1:6" ht="15" customHeight="1" x14ac:dyDescent="0.2">
      <c r="A255" s="586" t="s">
        <v>370</v>
      </c>
      <c r="B255" s="587"/>
      <c r="C255" s="587"/>
      <c r="D255" s="587"/>
      <c r="E255" s="588"/>
      <c r="F255" s="262"/>
    </row>
    <row r="256" spans="1:6" ht="15" customHeight="1" x14ac:dyDescent="0.2">
      <c r="A256" s="434" t="s">
        <v>371</v>
      </c>
      <c r="B256" s="448" t="s">
        <v>343</v>
      </c>
      <c r="C256" s="383">
        <f>+[8]BS17A!$D1958</f>
        <v>0</v>
      </c>
      <c r="D256" s="275">
        <f>+[8]BS17A!$U1958</f>
        <v>212700</v>
      </c>
      <c r="E256" s="344">
        <f>+[8]BS17A!$V1958</f>
        <v>0</v>
      </c>
      <c r="F256" s="262"/>
    </row>
    <row r="257" spans="1:6" ht="15" customHeight="1" x14ac:dyDescent="0.2">
      <c r="A257" s="435" t="s">
        <v>372</v>
      </c>
      <c r="B257" s="449" t="s">
        <v>373</v>
      </c>
      <c r="C257" s="380">
        <f>+[8]BS17A!$D1959</f>
        <v>0</v>
      </c>
      <c r="D257" s="270">
        <f>+[8]BS17A!$U1959</f>
        <v>1265290</v>
      </c>
      <c r="E257" s="345">
        <f>+[8]BS17A!$V1959</f>
        <v>0</v>
      </c>
      <c r="F257" s="262"/>
    </row>
    <row r="258" spans="1:6" ht="15" customHeight="1" x14ac:dyDescent="0.2">
      <c r="A258" s="435" t="s">
        <v>374</v>
      </c>
      <c r="B258" s="449" t="s">
        <v>375</v>
      </c>
      <c r="C258" s="380">
        <f>+[8]BS17A!$D1960</f>
        <v>0</v>
      </c>
      <c r="D258" s="270">
        <f>+[8]BS17A!$U1960</f>
        <v>190900</v>
      </c>
      <c r="E258" s="345">
        <f>+[8]BS17A!$V1960</f>
        <v>0</v>
      </c>
      <c r="F258" s="262"/>
    </row>
    <row r="259" spans="1:6" ht="15" customHeight="1" x14ac:dyDescent="0.2">
      <c r="A259" s="435" t="s">
        <v>376</v>
      </c>
      <c r="B259" s="449" t="s">
        <v>377</v>
      </c>
      <c r="C259" s="380">
        <f>+[8]BS17A!$D1961</f>
        <v>0</v>
      </c>
      <c r="D259" s="270">
        <f>+[8]BS17A!$U1961</f>
        <v>168820</v>
      </c>
      <c r="E259" s="345">
        <f>+[8]BS17A!$V1961</f>
        <v>0</v>
      </c>
      <c r="F259" s="262"/>
    </row>
    <row r="260" spans="1:6" ht="15" customHeight="1" x14ac:dyDescent="0.2">
      <c r="A260" s="435" t="s">
        <v>378</v>
      </c>
      <c r="B260" s="449" t="s">
        <v>379</v>
      </c>
      <c r="C260" s="380">
        <f>+[8]BS17A!$D1962</f>
        <v>0</v>
      </c>
      <c r="D260" s="270">
        <f>+[8]BS17A!$U1962</f>
        <v>342700</v>
      </c>
      <c r="E260" s="345">
        <f>+[8]BS17A!$V1962</f>
        <v>0</v>
      </c>
      <c r="F260" s="262"/>
    </row>
    <row r="261" spans="1:6" ht="15" customHeight="1" x14ac:dyDescent="0.2">
      <c r="A261" s="435" t="s">
        <v>380</v>
      </c>
      <c r="B261" s="449" t="s">
        <v>381</v>
      </c>
      <c r="C261" s="380">
        <f>+[8]BS17A!$D1963</f>
        <v>0</v>
      </c>
      <c r="D261" s="270">
        <f>+[8]BS17A!$U1963</f>
        <v>1139590</v>
      </c>
      <c r="E261" s="345">
        <f>+[8]BS17A!$V1963</f>
        <v>0</v>
      </c>
      <c r="F261" s="262"/>
    </row>
    <row r="262" spans="1:6" ht="15" customHeight="1" x14ac:dyDescent="0.2">
      <c r="A262" s="435" t="s">
        <v>382</v>
      </c>
      <c r="B262" s="449" t="s">
        <v>383</v>
      </c>
      <c r="C262" s="380">
        <f>+[8]BS17A!$D1964</f>
        <v>0</v>
      </c>
      <c r="D262" s="270">
        <f>+[8]BS17A!$U1964</f>
        <v>1171120</v>
      </c>
      <c r="E262" s="345">
        <f>+[8]BS17A!$V1964</f>
        <v>0</v>
      </c>
      <c r="F262" s="262"/>
    </row>
    <row r="263" spans="1:6" ht="15" customHeight="1" x14ac:dyDescent="0.2">
      <c r="A263" s="435" t="s">
        <v>384</v>
      </c>
      <c r="B263" s="449" t="s">
        <v>385</v>
      </c>
      <c r="C263" s="380">
        <f>+[8]BS17A!$D1965</f>
        <v>0</v>
      </c>
      <c r="D263" s="270">
        <f>+[8]BS17A!$U1965</f>
        <v>927270</v>
      </c>
      <c r="E263" s="345">
        <f>+[8]BS17A!$V1965</f>
        <v>0</v>
      </c>
      <c r="F263" s="262"/>
    </row>
    <row r="264" spans="1:6" ht="15" customHeight="1" x14ac:dyDescent="0.2">
      <c r="A264" s="435" t="s">
        <v>386</v>
      </c>
      <c r="B264" s="449" t="s">
        <v>387</v>
      </c>
      <c r="C264" s="380">
        <f>+[8]BS17A!$D1966</f>
        <v>0</v>
      </c>
      <c r="D264" s="270">
        <f>+[8]BS17A!$U1966</f>
        <v>977250</v>
      </c>
      <c r="E264" s="345">
        <f>+[8]BS17A!$V1966</f>
        <v>0</v>
      </c>
      <c r="F264" s="262"/>
    </row>
    <row r="265" spans="1:6" ht="15" customHeight="1" x14ac:dyDescent="0.2">
      <c r="A265" s="435" t="s">
        <v>388</v>
      </c>
      <c r="B265" s="449" t="s">
        <v>389</v>
      </c>
      <c r="C265" s="380">
        <f>+[8]BS17A!$D1967</f>
        <v>0</v>
      </c>
      <c r="D265" s="270">
        <f>+[8]BS17A!$U1967</f>
        <v>385520</v>
      </c>
      <c r="E265" s="345">
        <f>+[8]BS17A!$V1967</f>
        <v>0</v>
      </c>
      <c r="F265" s="262"/>
    </row>
    <row r="266" spans="1:6" ht="15" customHeight="1" x14ac:dyDescent="0.2">
      <c r="A266" s="435" t="s">
        <v>390</v>
      </c>
      <c r="B266" s="449" t="s">
        <v>391</v>
      </c>
      <c r="C266" s="380">
        <f>+[8]BS17A!$D1968</f>
        <v>0</v>
      </c>
      <c r="D266" s="270">
        <f>+[8]BS17A!$U1968</f>
        <v>92330</v>
      </c>
      <c r="E266" s="345">
        <f>+[8]BS17A!$V1968</f>
        <v>0</v>
      </c>
      <c r="F266" s="262"/>
    </row>
    <row r="267" spans="1:6" ht="15" customHeight="1" x14ac:dyDescent="0.2">
      <c r="A267" s="435" t="s">
        <v>392</v>
      </c>
      <c r="B267" s="449" t="s">
        <v>393</v>
      </c>
      <c r="C267" s="380">
        <f>+[8]BS17A!$D1969</f>
        <v>0</v>
      </c>
      <c r="D267" s="270">
        <f>+[8]BS17A!$U1969</f>
        <v>275450</v>
      </c>
      <c r="E267" s="345">
        <f>+[8]BS17A!$V1969</f>
        <v>0</v>
      </c>
      <c r="F267" s="262"/>
    </row>
    <row r="268" spans="1:6" ht="15" customHeight="1" x14ac:dyDescent="0.2">
      <c r="A268" s="435" t="s">
        <v>394</v>
      </c>
      <c r="B268" s="431" t="s">
        <v>395</v>
      </c>
      <c r="C268" s="380">
        <f>+[8]BS17A!$D1970</f>
        <v>0</v>
      </c>
      <c r="D268" s="270">
        <f>+[8]BS17A!$U1970</f>
        <v>77880</v>
      </c>
      <c r="E268" s="345">
        <f>+[8]BS17A!$V1970</f>
        <v>0</v>
      </c>
      <c r="F268" s="262"/>
    </row>
    <row r="269" spans="1:6" ht="15" customHeight="1" x14ac:dyDescent="0.2">
      <c r="A269" s="435" t="s">
        <v>396</v>
      </c>
      <c r="B269" s="431" t="s">
        <v>397</v>
      </c>
      <c r="C269" s="380">
        <f>+[8]BS17A!$D1971</f>
        <v>0</v>
      </c>
      <c r="D269" s="270">
        <f>+[8]BS17A!$U1971</f>
        <v>1338250</v>
      </c>
      <c r="E269" s="345">
        <f>+[8]BS17A!$V1971</f>
        <v>0</v>
      </c>
      <c r="F269" s="262"/>
    </row>
    <row r="270" spans="1:6" ht="15" customHeight="1" x14ac:dyDescent="0.2">
      <c r="A270" s="435" t="s">
        <v>398</v>
      </c>
      <c r="B270" s="431" t="s">
        <v>399</v>
      </c>
      <c r="C270" s="380">
        <f>+[8]BS17A!$D1972</f>
        <v>0</v>
      </c>
      <c r="D270" s="270">
        <f>+[8]BS17A!$U1972</f>
        <v>312910</v>
      </c>
      <c r="E270" s="345">
        <f>+[8]BS17A!$V1972</f>
        <v>0</v>
      </c>
      <c r="F270" s="262"/>
    </row>
    <row r="271" spans="1:6" ht="15" customHeight="1" x14ac:dyDescent="0.2">
      <c r="A271" s="435" t="s">
        <v>400</v>
      </c>
      <c r="B271" s="431" t="s">
        <v>401</v>
      </c>
      <c r="C271" s="380">
        <f>+[8]BS17A!$D1973</f>
        <v>0</v>
      </c>
      <c r="D271" s="270">
        <f>+[8]BS17A!$U1973</f>
        <v>1048270</v>
      </c>
      <c r="E271" s="345">
        <f>+[8]BS17A!$V1973</f>
        <v>0</v>
      </c>
      <c r="F271" s="262"/>
    </row>
    <row r="272" spans="1:6" ht="15" customHeight="1" x14ac:dyDescent="0.2">
      <c r="A272" s="435" t="s">
        <v>402</v>
      </c>
      <c r="B272" s="450" t="s">
        <v>403</v>
      </c>
      <c r="C272" s="380">
        <f>+[8]BS17A!$D1974</f>
        <v>0</v>
      </c>
      <c r="D272" s="270">
        <f>+[8]BS17A!$U1974</f>
        <v>641750</v>
      </c>
      <c r="E272" s="345">
        <f>+[8]BS17A!$V1974</f>
        <v>0</v>
      </c>
      <c r="F272" s="262"/>
    </row>
    <row r="273" spans="1:10" ht="15" customHeight="1" x14ac:dyDescent="0.2">
      <c r="A273" s="436" t="s">
        <v>404</v>
      </c>
      <c r="B273" s="450" t="s">
        <v>405</v>
      </c>
      <c r="C273" s="395">
        <f>+[8]BS17A!$D1975</f>
        <v>0</v>
      </c>
      <c r="D273" s="272">
        <f>+[8]BS17A!$U1975</f>
        <v>523710</v>
      </c>
      <c r="E273" s="368">
        <f>+[8]BS17A!$V1975</f>
        <v>0</v>
      </c>
      <c r="F273" s="262"/>
    </row>
    <row r="274" spans="1:10" ht="15" customHeight="1" x14ac:dyDescent="0.2">
      <c r="A274" s="586" t="s">
        <v>406</v>
      </c>
      <c r="B274" s="587"/>
      <c r="C274" s="587"/>
      <c r="D274" s="587"/>
      <c r="E274" s="588"/>
      <c r="F274" s="262"/>
    </row>
    <row r="275" spans="1:10" ht="15" customHeight="1" x14ac:dyDescent="0.2">
      <c r="A275" s="434" t="s">
        <v>407</v>
      </c>
      <c r="B275" s="443" t="s">
        <v>408</v>
      </c>
      <c r="C275" s="412">
        <f>+[8]BS17A!$D1976</f>
        <v>0</v>
      </c>
      <c r="D275" s="267">
        <f>[8]BS17A!U1976</f>
        <v>282310</v>
      </c>
      <c r="E275" s="369">
        <f>+[8]BS17A!$V1976</f>
        <v>0</v>
      </c>
      <c r="F275" s="262"/>
    </row>
    <row r="276" spans="1:10" ht="15" customHeight="1" x14ac:dyDescent="0.2">
      <c r="A276" s="435" t="s">
        <v>409</v>
      </c>
      <c r="B276" s="431" t="s">
        <v>410</v>
      </c>
      <c r="C276" s="380">
        <f>+[8]BS17A!$D1977</f>
        <v>0</v>
      </c>
      <c r="D276" s="270">
        <f>[8]BS17A!U1977</f>
        <v>164590</v>
      </c>
      <c r="E276" s="345">
        <f>+[8]BS17A!$V1977</f>
        <v>0</v>
      </c>
      <c r="F276" s="262"/>
    </row>
    <row r="277" spans="1:10" ht="15" customHeight="1" x14ac:dyDescent="0.2">
      <c r="A277" s="435" t="s">
        <v>411</v>
      </c>
      <c r="B277" s="431" t="s">
        <v>412</v>
      </c>
      <c r="C277" s="380">
        <f>+[8]BS17A!$D1978</f>
        <v>0</v>
      </c>
      <c r="D277" s="270">
        <f>[8]BS17A!U1978</f>
        <v>397700</v>
      </c>
      <c r="E277" s="345">
        <f>+[8]BS17A!$V1978</f>
        <v>0</v>
      </c>
      <c r="F277" s="262"/>
    </row>
    <row r="278" spans="1:10" ht="15" customHeight="1" x14ac:dyDescent="0.2">
      <c r="A278" s="435" t="s">
        <v>413</v>
      </c>
      <c r="B278" s="431" t="s">
        <v>414</v>
      </c>
      <c r="C278" s="380">
        <f>+[8]BS17A!$D1979</f>
        <v>0</v>
      </c>
      <c r="D278" s="270">
        <f>[8]BS17A!U1979</f>
        <v>412140</v>
      </c>
      <c r="E278" s="345">
        <f>+[8]BS17A!$V1979</f>
        <v>0</v>
      </c>
      <c r="F278" s="262"/>
    </row>
    <row r="279" spans="1:10" ht="15" customHeight="1" x14ac:dyDescent="0.2">
      <c r="A279" s="436" t="s">
        <v>415</v>
      </c>
      <c r="B279" s="444" t="s">
        <v>416</v>
      </c>
      <c r="C279" s="395">
        <f>+[8]BS17A!$D1980</f>
        <v>0</v>
      </c>
      <c r="D279" s="277">
        <f>[8]BS17A!U1980</f>
        <v>257530</v>
      </c>
      <c r="E279" s="350">
        <f>+[8]BS17A!$V1980</f>
        <v>0</v>
      </c>
      <c r="F279" s="370"/>
    </row>
    <row r="280" spans="1:10" ht="15" customHeight="1" x14ac:dyDescent="0.2">
      <c r="A280" s="447" t="s">
        <v>417</v>
      </c>
      <c r="B280" s="445" t="s">
        <v>418</v>
      </c>
      <c r="C280" s="413">
        <f>+[8]BS17A!$D1981</f>
        <v>102</v>
      </c>
      <c r="D280" s="371">
        <f>[8]BS17A!U1981</f>
        <v>35020</v>
      </c>
      <c r="E280" s="367">
        <f>+[8]BS17A!$V1981</f>
        <v>3572040</v>
      </c>
      <c r="F280" s="370"/>
    </row>
    <row r="281" spans="1:10" ht="15" customHeight="1" x14ac:dyDescent="0.2">
      <c r="A281" s="442"/>
      <c r="B281" s="446" t="s">
        <v>419</v>
      </c>
      <c r="C281" s="279">
        <f>SUM(C241:C280)</f>
        <v>102</v>
      </c>
      <c r="D281" s="348"/>
      <c r="E281" s="349">
        <f>SUM(E241:E280)</f>
        <v>3572040</v>
      </c>
      <c r="F281" s="370"/>
    </row>
    <row r="282" spans="1:10" ht="18" customHeight="1" x14ac:dyDescent="0.2">
      <c r="A282" s="362"/>
      <c r="B282" s="262"/>
      <c r="C282" s="262"/>
      <c r="D282" s="362"/>
      <c r="E282" s="362"/>
      <c r="F282" s="262"/>
    </row>
    <row r="283" spans="1:10" ht="18" customHeight="1" x14ac:dyDescent="0.2">
      <c r="A283" s="362"/>
      <c r="B283" s="364"/>
      <c r="C283" s="364"/>
      <c r="D283" s="362"/>
      <c r="E283" s="362"/>
      <c r="F283" s="372"/>
      <c r="G283" s="373"/>
      <c r="J283" s="374"/>
    </row>
    <row r="284" spans="1:10" ht="12.75" customHeight="1" x14ac:dyDescent="0.2">
      <c r="A284" s="591" t="s">
        <v>420</v>
      </c>
      <c r="B284" s="592"/>
      <c r="C284" s="592"/>
      <c r="D284" s="592"/>
      <c r="E284" s="593"/>
      <c r="F284" s="262"/>
    </row>
    <row r="285" spans="1:10" ht="44.25" customHeight="1" x14ac:dyDescent="0.2">
      <c r="A285" s="264" t="s">
        <v>8</v>
      </c>
      <c r="B285" s="264" t="s">
        <v>420</v>
      </c>
      <c r="C285" s="504" t="s">
        <v>341</v>
      </c>
      <c r="D285" s="310" t="s">
        <v>11</v>
      </c>
      <c r="E285" s="506" t="s">
        <v>12</v>
      </c>
      <c r="F285" s="370"/>
    </row>
    <row r="286" spans="1:10" ht="15" customHeight="1" x14ac:dyDescent="0.2">
      <c r="A286" s="434" t="s">
        <v>421</v>
      </c>
      <c r="B286" s="438" t="s">
        <v>422</v>
      </c>
      <c r="C286" s="383">
        <f>+[8]BS17A!$D1983</f>
        <v>6</v>
      </c>
      <c r="D286" s="275">
        <f>+[8]BS17A!$U1983</f>
        <v>6890</v>
      </c>
      <c r="E286" s="344">
        <f>+[8]BS17A!$V1983</f>
        <v>41340</v>
      </c>
      <c r="F286" s="262"/>
    </row>
    <row r="287" spans="1:10" ht="15" customHeight="1" x14ac:dyDescent="0.2">
      <c r="A287" s="435" t="s">
        <v>423</v>
      </c>
      <c r="B287" s="439" t="s">
        <v>424</v>
      </c>
      <c r="C287" s="380">
        <f>+[8]BS17A!$D1984</f>
        <v>0</v>
      </c>
      <c r="D287" s="270">
        <f>+[8]BS17A!$U1984</f>
        <v>3670</v>
      </c>
      <c r="E287" s="345">
        <f>+[8]BS17A!$V1984</f>
        <v>0</v>
      </c>
      <c r="F287" s="262"/>
    </row>
    <row r="288" spans="1:10" ht="15" customHeight="1" x14ac:dyDescent="0.2">
      <c r="A288" s="435" t="s">
        <v>425</v>
      </c>
      <c r="B288" s="439" t="s">
        <v>426</v>
      </c>
      <c r="C288" s="380">
        <f>+[8]BS17A!$D1985</f>
        <v>1</v>
      </c>
      <c r="D288" s="270">
        <f>+[8]BS17A!$U1985</f>
        <v>13830</v>
      </c>
      <c r="E288" s="345">
        <f>+[8]BS17A!$V1985</f>
        <v>13830</v>
      </c>
      <c r="F288" s="262"/>
    </row>
    <row r="289" spans="1:7" ht="15" customHeight="1" x14ac:dyDescent="0.2">
      <c r="A289" s="435" t="s">
        <v>427</v>
      </c>
      <c r="B289" s="439" t="s">
        <v>428</v>
      </c>
      <c r="C289" s="380">
        <f>+[8]BS17A!$D1986</f>
        <v>0</v>
      </c>
      <c r="D289" s="270">
        <f>+[8]BS17A!$U1986</f>
        <v>141790</v>
      </c>
      <c r="E289" s="345">
        <f>+[8]BS17A!$V1986</f>
        <v>0</v>
      </c>
      <c r="F289" s="262"/>
    </row>
    <row r="290" spans="1:7" ht="15" customHeight="1" x14ac:dyDescent="0.2">
      <c r="A290" s="436" t="s">
        <v>429</v>
      </c>
      <c r="B290" s="440" t="s">
        <v>430</v>
      </c>
      <c r="C290" s="395">
        <f>+[8]BS17A!$D1987</f>
        <v>1</v>
      </c>
      <c r="D290" s="277">
        <f>+[8]BS17A!$U1987</f>
        <v>778770</v>
      </c>
      <c r="E290" s="350">
        <f>+[8]BS17A!$V1987</f>
        <v>778770</v>
      </c>
      <c r="F290" s="262"/>
    </row>
    <row r="291" spans="1:7" ht="15" customHeight="1" x14ac:dyDescent="0.2">
      <c r="A291" s="442"/>
      <c r="B291" s="441" t="s">
        <v>431</v>
      </c>
      <c r="C291" s="316">
        <f>SUM(C286:C290)</f>
        <v>8</v>
      </c>
      <c r="D291" s="288"/>
      <c r="E291" s="317">
        <f>SUM(E286:E290)</f>
        <v>833940</v>
      </c>
      <c r="F291" s="262"/>
    </row>
    <row r="292" spans="1:7" ht="18" customHeight="1" x14ac:dyDescent="0.2">
      <c r="A292" s="362"/>
      <c r="B292" s="364"/>
      <c r="C292" s="362"/>
      <c r="D292" s="362"/>
      <c r="E292" s="362"/>
      <c r="F292" s="262"/>
    </row>
    <row r="293" spans="1:7" ht="18" customHeight="1" x14ac:dyDescent="0.2">
      <c r="A293" s="362"/>
      <c r="B293" s="364"/>
      <c r="C293" s="362"/>
      <c r="D293" s="362"/>
      <c r="E293" s="362"/>
      <c r="F293" s="375"/>
      <c r="G293" s="263"/>
    </row>
    <row r="294" spans="1:7" ht="12.75" x14ac:dyDescent="0.2">
      <c r="A294" s="586" t="s">
        <v>432</v>
      </c>
      <c r="B294" s="587"/>
      <c r="C294" s="587"/>
      <c r="D294" s="587"/>
      <c r="E294" s="588"/>
      <c r="F294" s="376"/>
      <c r="G294" s="263"/>
    </row>
    <row r="295" spans="1:7" ht="42.75" customHeight="1" x14ac:dyDescent="0.2">
      <c r="A295" s="264" t="s">
        <v>8</v>
      </c>
      <c r="B295" s="407" t="s">
        <v>432</v>
      </c>
      <c r="C295" s="408" t="s">
        <v>433</v>
      </c>
      <c r="D295" s="310" t="s">
        <v>11</v>
      </c>
      <c r="E295" s="506" t="s">
        <v>12</v>
      </c>
      <c r="F295" s="376"/>
      <c r="G295" s="263"/>
    </row>
    <row r="296" spans="1:7" ht="15" customHeight="1" x14ac:dyDescent="0.2">
      <c r="A296" s="434" t="s">
        <v>434</v>
      </c>
      <c r="B296" s="429" t="s">
        <v>435</v>
      </c>
      <c r="C296" s="383">
        <f>+[8]BS17A!$D1863</f>
        <v>53</v>
      </c>
      <c r="D296" s="275">
        <f>+[8]BS17A!$U1863</f>
        <v>18430</v>
      </c>
      <c r="E296" s="344">
        <f>+[8]BS17A!$V1863</f>
        <v>976790</v>
      </c>
      <c r="F296" s="262"/>
    </row>
    <row r="297" spans="1:7" ht="15" customHeight="1" x14ac:dyDescent="0.2">
      <c r="A297" s="435" t="s">
        <v>436</v>
      </c>
      <c r="B297" s="430" t="s">
        <v>437</v>
      </c>
      <c r="C297" s="380">
        <f>+[8]BS17A!$D1864</f>
        <v>55</v>
      </c>
      <c r="D297" s="270">
        <f>+[8]BS17A!$U1864</f>
        <v>57970</v>
      </c>
      <c r="E297" s="345">
        <f>+[8]BS17A!$V1864</f>
        <v>3188350</v>
      </c>
      <c r="F297" s="262"/>
    </row>
    <row r="298" spans="1:7" ht="15" customHeight="1" x14ac:dyDescent="0.2">
      <c r="A298" s="435" t="s">
        <v>438</v>
      </c>
      <c r="B298" s="430" t="s">
        <v>439</v>
      </c>
      <c r="C298" s="380">
        <f>+[8]BS17A!$D1865</f>
        <v>0</v>
      </c>
      <c r="D298" s="270">
        <f>+[8]BS17A!$U1865</f>
        <v>71860</v>
      </c>
      <c r="E298" s="345">
        <f>+[8]BS17A!$V1865</f>
        <v>0</v>
      </c>
      <c r="F298" s="262"/>
    </row>
    <row r="299" spans="1:7" ht="15" customHeight="1" x14ac:dyDescent="0.2">
      <c r="A299" s="435" t="s">
        <v>440</v>
      </c>
      <c r="B299" s="430" t="s">
        <v>441</v>
      </c>
      <c r="C299" s="380">
        <f>+[8]BS17A!$D1866</f>
        <v>138</v>
      </c>
      <c r="D299" s="270">
        <f>+[8]BS17A!$U1866</f>
        <v>2520</v>
      </c>
      <c r="E299" s="345">
        <f>+[8]BS17A!$V1866</f>
        <v>347760</v>
      </c>
      <c r="F299" s="262"/>
    </row>
    <row r="300" spans="1:7" ht="15" customHeight="1" x14ac:dyDescent="0.2">
      <c r="A300" s="435" t="s">
        <v>442</v>
      </c>
      <c r="B300" s="430" t="s">
        <v>443</v>
      </c>
      <c r="C300" s="380">
        <f>+[8]BS17A!$D1867</f>
        <v>0</v>
      </c>
      <c r="D300" s="270">
        <f>+[8]BS17A!$U1867</f>
        <v>70</v>
      </c>
      <c r="E300" s="345">
        <f>+[8]BS17A!$V1867</f>
        <v>0</v>
      </c>
      <c r="F300" s="262"/>
    </row>
    <row r="301" spans="1:7" ht="15" customHeight="1" x14ac:dyDescent="0.2">
      <c r="A301" s="435" t="s">
        <v>444</v>
      </c>
      <c r="B301" s="431" t="s">
        <v>445</v>
      </c>
      <c r="C301" s="380">
        <f>+[8]BS17A!$D1868</f>
        <v>0</v>
      </c>
      <c r="D301" s="270">
        <f>+[8]BS17A!$U1868</f>
        <v>152560</v>
      </c>
      <c r="E301" s="345">
        <f>+[8]BS17A!$V1868</f>
        <v>0</v>
      </c>
      <c r="F301" s="262"/>
    </row>
    <row r="302" spans="1:7" ht="15" customHeight="1" x14ac:dyDescent="0.2">
      <c r="A302" s="436" t="s">
        <v>446</v>
      </c>
      <c r="B302" s="432" t="s">
        <v>447</v>
      </c>
      <c r="C302" s="395">
        <f>+[8]BS17A!$D1869</f>
        <v>0</v>
      </c>
      <c r="D302" s="277">
        <f>+[8]BS17A!$U1869</f>
        <v>10370</v>
      </c>
      <c r="E302" s="350">
        <f>+[8]BS17A!$V1869</f>
        <v>0</v>
      </c>
      <c r="F302" s="262"/>
    </row>
    <row r="303" spans="1:7" ht="15" customHeight="1" x14ac:dyDescent="0.2">
      <c r="A303" s="437"/>
      <c r="B303" s="603" t="s">
        <v>448</v>
      </c>
      <c r="C303" s="604"/>
      <c r="D303" s="366"/>
      <c r="E303" s="377">
        <f>SUM(E296:E302)</f>
        <v>4512900</v>
      </c>
      <c r="F303" s="262"/>
    </row>
    <row r="304" spans="1:7" ht="12.75" x14ac:dyDescent="0.2">
      <c r="A304" s="262"/>
      <c r="B304" s="262"/>
      <c r="C304" s="262"/>
      <c r="D304" s="262"/>
      <c r="E304" s="262"/>
      <c r="F304" s="359"/>
      <c r="G304" s="361"/>
    </row>
    <row r="305" spans="1:7" ht="12.75" x14ac:dyDescent="0.2">
      <c r="A305" s="262"/>
      <c r="B305" s="262"/>
      <c r="C305" s="262"/>
      <c r="D305" s="262"/>
      <c r="E305" s="262"/>
      <c r="F305" s="359"/>
      <c r="G305" s="361"/>
    </row>
    <row r="306" spans="1:7" ht="12.75" x14ac:dyDescent="0.2">
      <c r="A306" s="597" t="s">
        <v>449</v>
      </c>
      <c r="B306" s="598"/>
      <c r="C306" s="598"/>
      <c r="D306" s="598"/>
      <c r="E306" s="599"/>
      <c r="F306" s="359"/>
      <c r="G306" s="361"/>
    </row>
    <row r="307" spans="1:7" ht="12.75" x14ac:dyDescent="0.2">
      <c r="A307" s="307"/>
      <c r="B307" s="600" t="s">
        <v>450</v>
      </c>
      <c r="C307" s="601"/>
      <c r="D307" s="602"/>
      <c r="E307" s="378">
        <f>+E232+E237+E281+E291+E303</f>
        <v>20985510</v>
      </c>
      <c r="F307" s="262"/>
    </row>
    <row r="308" spans="1:7" ht="12.75" x14ac:dyDescent="0.2">
      <c r="A308" s="262"/>
      <c r="B308" s="262"/>
      <c r="C308" s="262"/>
      <c r="D308" s="262"/>
      <c r="E308" s="262"/>
      <c r="F308" s="359"/>
      <c r="G308" s="361"/>
    </row>
    <row r="309" spans="1:7" ht="12.75" x14ac:dyDescent="0.2">
      <c r="A309" s="262"/>
      <c r="B309" s="262"/>
      <c r="C309" s="262"/>
      <c r="D309" s="262"/>
      <c r="E309" s="262"/>
      <c r="F309" s="359"/>
      <c r="G309" s="361"/>
    </row>
    <row r="310" spans="1:7" ht="12.75" x14ac:dyDescent="0.2">
      <c r="A310" s="597" t="s">
        <v>451</v>
      </c>
      <c r="B310" s="598"/>
      <c r="C310" s="598"/>
      <c r="D310" s="598"/>
      <c r="E310" s="599"/>
      <c r="F310" s="359"/>
      <c r="G310" s="361"/>
    </row>
    <row r="311" spans="1:7" ht="25.5" x14ac:dyDescent="0.2">
      <c r="A311" s="586" t="s">
        <v>452</v>
      </c>
      <c r="B311" s="587"/>
      <c r="C311" s="587"/>
      <c r="D311" s="588"/>
      <c r="E311" s="264" t="s">
        <v>12</v>
      </c>
      <c r="F311" s="359"/>
      <c r="G311" s="361"/>
    </row>
    <row r="312" spans="1:7" ht="15" customHeight="1" x14ac:dyDescent="0.2">
      <c r="A312" s="307"/>
      <c r="B312" s="600" t="s">
        <v>453</v>
      </c>
      <c r="C312" s="601"/>
      <c r="D312" s="602"/>
      <c r="E312" s="378">
        <f>+E50+E76+E84+F109+E116+C121+E148+E155+E168+E204+E218+C225+E307</f>
        <v>752143800</v>
      </c>
      <c r="F312" s="359"/>
      <c r="G312" s="361"/>
    </row>
    <row r="313" spans="1:7" ht="18" customHeight="1" x14ac:dyDescent="0.2">
      <c r="A313" s="262"/>
      <c r="B313" s="262"/>
      <c r="C313" s="262"/>
      <c r="D313" s="262"/>
      <c r="E313" s="262"/>
      <c r="F313" s="259"/>
    </row>
    <row r="314" spans="1:7" ht="18" customHeight="1" x14ac:dyDescent="0.2">
      <c r="A314" s="262"/>
      <c r="B314" s="262"/>
      <c r="C314" s="262"/>
      <c r="D314" s="262"/>
      <c r="E314" s="262"/>
      <c r="F314" s="259"/>
    </row>
    <row r="315" spans="1:7" ht="18" customHeight="1" x14ac:dyDescent="0.2">
      <c r="A315" s="597" t="s">
        <v>454</v>
      </c>
      <c r="B315" s="598"/>
      <c r="C315" s="599"/>
      <c r="D315" s="262"/>
      <c r="E315" s="262"/>
      <c r="F315" s="259"/>
    </row>
    <row r="316" spans="1:7" ht="18" customHeight="1" x14ac:dyDescent="0.2">
      <c r="A316" s="586" t="s">
        <v>455</v>
      </c>
      <c r="B316" s="587"/>
      <c r="C316" s="588"/>
      <c r="D316" s="262"/>
      <c r="E316" s="262"/>
      <c r="F316" s="259"/>
    </row>
    <row r="317" spans="1:7" ht="30.75" customHeight="1" x14ac:dyDescent="0.2">
      <c r="A317" s="597" t="s">
        <v>456</v>
      </c>
      <c r="B317" s="598"/>
      <c r="C317" s="264" t="s">
        <v>457</v>
      </c>
      <c r="D317" s="262"/>
      <c r="E317" s="262"/>
      <c r="F317" s="262"/>
    </row>
    <row r="318" spans="1:7" ht="15" customHeight="1" x14ac:dyDescent="0.2">
      <c r="A318" s="379" t="s">
        <v>458</v>
      </c>
      <c r="B318" s="397"/>
      <c r="C318" s="403"/>
      <c r="D318" s="262"/>
      <c r="E318" s="262"/>
      <c r="F318" s="262"/>
    </row>
    <row r="319" spans="1:7" ht="15" customHeight="1" x14ac:dyDescent="0.2">
      <c r="A319" s="380" t="s">
        <v>459</v>
      </c>
      <c r="B319" s="398"/>
      <c r="C319" s="404"/>
      <c r="D319" s="262"/>
      <c r="E319" s="262"/>
      <c r="F319" s="262"/>
    </row>
    <row r="320" spans="1:7" ht="15" customHeight="1" x14ac:dyDescent="0.2">
      <c r="A320" s="380" t="s">
        <v>460</v>
      </c>
      <c r="B320" s="398"/>
      <c r="C320" s="404"/>
      <c r="D320" s="262"/>
      <c r="E320" s="262"/>
      <c r="F320" s="262"/>
    </row>
    <row r="321" spans="1:6" ht="15" customHeight="1" x14ac:dyDescent="0.2">
      <c r="A321" s="381" t="s">
        <v>461</v>
      </c>
      <c r="B321" s="398"/>
      <c r="C321" s="404"/>
      <c r="D321" s="262"/>
      <c r="E321" s="262"/>
      <c r="F321" s="262"/>
    </row>
    <row r="322" spans="1:6" ht="15" customHeight="1" x14ac:dyDescent="0.2">
      <c r="A322" s="382" t="s">
        <v>462</v>
      </c>
      <c r="B322" s="399"/>
      <c r="C322" s="405">
        <f>SUM(C318:C321)</f>
        <v>0</v>
      </c>
      <c r="D322" s="262"/>
      <c r="E322" s="262"/>
      <c r="F322" s="262"/>
    </row>
    <row r="323" spans="1:6" ht="15" customHeight="1" x14ac:dyDescent="0.2">
      <c r="A323" s="383" t="s">
        <v>463</v>
      </c>
      <c r="B323" s="400"/>
      <c r="C323" s="403">
        <v>1939042</v>
      </c>
      <c r="D323" s="262"/>
      <c r="E323" s="262"/>
      <c r="F323" s="262"/>
    </row>
    <row r="324" spans="1:6" ht="15" customHeight="1" x14ac:dyDescent="0.2">
      <c r="A324" s="384" t="s">
        <v>464</v>
      </c>
      <c r="B324" s="401"/>
      <c r="C324" s="404"/>
      <c r="D324" s="262"/>
      <c r="E324" s="262"/>
      <c r="F324" s="262"/>
    </row>
    <row r="325" spans="1:6" ht="15" customHeight="1" x14ac:dyDescent="0.2">
      <c r="A325" s="380" t="s">
        <v>465</v>
      </c>
      <c r="B325" s="401"/>
      <c r="C325" s="404"/>
      <c r="D325" s="262"/>
      <c r="E325" s="262"/>
      <c r="F325" s="262"/>
    </row>
    <row r="326" spans="1:6" ht="15" customHeight="1" x14ac:dyDescent="0.2">
      <c r="A326" s="380" t="s">
        <v>466</v>
      </c>
      <c r="B326" s="401"/>
      <c r="C326" s="404"/>
      <c r="D326" s="262"/>
      <c r="E326" s="262"/>
      <c r="F326" s="262"/>
    </row>
    <row r="327" spans="1:6" ht="15" customHeight="1" x14ac:dyDescent="0.2">
      <c r="A327" s="384" t="s">
        <v>467</v>
      </c>
      <c r="B327" s="401"/>
      <c r="C327" s="404"/>
      <c r="D327" s="262"/>
      <c r="E327" s="262"/>
      <c r="F327" s="262"/>
    </row>
    <row r="328" spans="1:6" ht="15" customHeight="1" x14ac:dyDescent="0.2">
      <c r="A328" s="384" t="s">
        <v>468</v>
      </c>
      <c r="B328" s="401"/>
      <c r="C328" s="404"/>
      <c r="D328" s="262"/>
      <c r="E328" s="262"/>
      <c r="F328" s="262"/>
    </row>
    <row r="329" spans="1:6" ht="15" customHeight="1" x14ac:dyDescent="0.2">
      <c r="A329" s="385" t="s">
        <v>469</v>
      </c>
      <c r="B329" s="402"/>
      <c r="C329" s="406">
        <v>107779183</v>
      </c>
      <c r="D329" s="262"/>
      <c r="E329" s="262"/>
      <c r="F329" s="262"/>
    </row>
    <row r="330" spans="1:6" ht="15" customHeight="1" x14ac:dyDescent="0.2">
      <c r="A330" s="279"/>
      <c r="B330" s="396" t="s">
        <v>470</v>
      </c>
      <c r="C330" s="354">
        <f>SUM(C322:C329)</f>
        <v>109718225</v>
      </c>
      <c r="D330" s="262"/>
      <c r="E330" s="262"/>
      <c r="F330" s="262"/>
    </row>
    <row r="331" spans="1:6" ht="12.75" x14ac:dyDescent="0.2">
      <c r="A331" s="262"/>
      <c r="B331" s="262"/>
      <c r="C331" s="262"/>
      <c r="D331" s="262"/>
      <c r="E331" s="262"/>
      <c r="F331" s="259"/>
    </row>
    <row r="332" spans="1:6" ht="12.75" x14ac:dyDescent="0.2">
      <c r="A332" s="262"/>
      <c r="B332" s="262"/>
      <c r="C332" s="262"/>
      <c r="D332" s="262"/>
      <c r="E332" s="262"/>
      <c r="F332" s="259"/>
    </row>
    <row r="333" spans="1:6" ht="12.75" x14ac:dyDescent="0.2">
      <c r="A333" s="262"/>
      <c r="B333" s="262"/>
      <c r="C333" s="262"/>
      <c r="D333" s="262"/>
      <c r="E333" s="262"/>
      <c r="F333" s="259"/>
    </row>
    <row r="334" spans="1:6" ht="12.75" x14ac:dyDescent="0.2">
      <c r="A334" s="362"/>
      <c r="B334" s="362"/>
      <c r="C334" s="362"/>
      <c r="D334" s="362"/>
      <c r="E334" s="362"/>
      <c r="F334" s="375"/>
    </row>
    <row r="335" spans="1:6" ht="12.75" x14ac:dyDescent="0.2">
      <c r="A335" s="362"/>
      <c r="B335" s="362"/>
      <c r="C335" s="362"/>
      <c r="D335" s="362"/>
      <c r="E335" s="610" t="str">
        <f>[8]NOMBRE!B12</f>
        <v>SRA. MARIA INES NUÑEZ GONZALEZ</v>
      </c>
      <c r="F335" s="610"/>
    </row>
    <row r="336" spans="1:6" ht="12.75" x14ac:dyDescent="0.2">
      <c r="A336" s="362"/>
      <c r="B336" s="362"/>
      <c r="C336" s="362"/>
      <c r="D336" s="364"/>
      <c r="E336" s="609" t="str">
        <f>[8]NOMBRE!A12</f>
        <v>Jefe de Estadisticas</v>
      </c>
      <c r="F336" s="609"/>
    </row>
    <row r="337" spans="1:6" ht="12.75" x14ac:dyDescent="0.2">
      <c r="A337" s="362"/>
      <c r="B337" s="362"/>
      <c r="C337" s="362"/>
      <c r="D337" s="362"/>
      <c r="E337" s="510"/>
      <c r="F337" s="387"/>
    </row>
    <row r="338" spans="1:6" ht="12.75" x14ac:dyDescent="0.2">
      <c r="A338" s="362"/>
      <c r="B338" s="362"/>
      <c r="C338" s="362"/>
      <c r="D338" s="362"/>
      <c r="E338" s="387"/>
      <c r="F338" s="387"/>
    </row>
    <row r="339" spans="1:6" ht="12.75" x14ac:dyDescent="0.2">
      <c r="A339" s="362"/>
      <c r="B339" s="362"/>
      <c r="C339" s="362"/>
      <c r="D339" s="362"/>
      <c r="E339" s="387"/>
      <c r="F339" s="387"/>
    </row>
    <row r="340" spans="1:6" ht="12.75" x14ac:dyDescent="0.2">
      <c r="A340" s="362"/>
      <c r="B340" s="362"/>
      <c r="C340" s="362"/>
      <c r="D340" s="362"/>
      <c r="E340" s="387"/>
      <c r="F340" s="387"/>
    </row>
    <row r="341" spans="1:6" ht="12.75" x14ac:dyDescent="0.2">
      <c r="A341" s="362"/>
      <c r="B341" s="362"/>
      <c r="C341" s="362"/>
      <c r="D341" s="362"/>
      <c r="E341" s="387"/>
      <c r="F341" s="387"/>
    </row>
    <row r="342" spans="1:6" ht="12.75" x14ac:dyDescent="0.2">
      <c r="A342" s="362"/>
      <c r="B342" s="362"/>
      <c r="C342" s="362"/>
      <c r="D342" s="362"/>
      <c r="E342" s="387"/>
      <c r="F342" s="387"/>
    </row>
    <row r="343" spans="1:6" ht="12.75" x14ac:dyDescent="0.2">
      <c r="A343" s="362"/>
      <c r="B343" s="362"/>
      <c r="C343" s="362"/>
      <c r="D343" s="362"/>
      <c r="E343" s="387"/>
      <c r="F343" s="387"/>
    </row>
    <row r="344" spans="1:6" ht="12.75" x14ac:dyDescent="0.2">
      <c r="A344" s="362"/>
      <c r="B344" s="362"/>
      <c r="C344" s="362"/>
      <c r="D344" s="362"/>
      <c r="E344" s="610" t="str">
        <f>[8]NOMBRE!B11</f>
        <v xml:space="preserve">DR. FRANCISCO MARTINEZ CAVALLA </v>
      </c>
      <c r="F344" s="610"/>
    </row>
    <row r="345" spans="1:6" ht="22.5" customHeight="1" x14ac:dyDescent="0.2">
      <c r="A345" s="362"/>
      <c r="B345" s="362"/>
      <c r="C345" s="362"/>
      <c r="D345" s="375"/>
      <c r="E345" s="609" t="str">
        <f>CONCATENATE("Director ",[8]NOMBRE!B1)</f>
        <v xml:space="preserve">Director </v>
      </c>
      <c r="F345" s="609"/>
    </row>
    <row r="346" spans="1:6" ht="12.75" x14ac:dyDescent="0.2">
      <c r="A346" s="362"/>
      <c r="B346" s="362"/>
      <c r="C346" s="362"/>
      <c r="D346" s="388"/>
      <c r="E346" s="362"/>
      <c r="F346" s="375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 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2015-01-21T15:22:13Z</dcterms:modified>
</cp:coreProperties>
</file>